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res-storage\proefdieren\pd-ivd\Projects CCD - project aanvragen\AVD30100202216559_CCD Preclinical imaging_ vd Ven\Versie 2 voor CCD\"/>
    </mc:Choice>
  </mc:AlternateContent>
  <bookViews>
    <workbookView xWindow="0" yWindow="0" windowWidth="28800" windowHeight="1425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<sst xmlns="http://schemas.openxmlformats.org/spreadsheetml/2006/main" count="5271" uniqueCount="4973">
  <si>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</si>
  <si>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</si>
  <si>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</si>
  <si>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</si>
  <si>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</si>
  <si>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</si>
  <si>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</si>
  <si>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</si>
  <si>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</si>
  <si>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</si>
  <si>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</si>
  <si>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</si>
  <si>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</si>
  <si>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</si>
  <si>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</si>
  <si>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</si>
  <si>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</si>
  <si>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</si>
  <si>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</si>
  <si>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</si>
  <si>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</si>
  <si>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</si>
  <si>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</si>
  <si>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</si>
  <si>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</si>
  <si>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</si>
  <si>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</si>
  <si>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</si>
  <si>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</si>
  <si>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</si>
  <si>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</si>
  <si>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</si>
  <si>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</si>
  <si>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</si>
  <si>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</si>
  <si>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</si>
  <si>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</si>
  <si>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</si>
  <si>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</si>
  <si>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</si>
  <si>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</si>
  <si>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</si>
  <si>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</si>
  <si>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</si>
  <si>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</si>
  <si>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</si>
  <si>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</si>
  <si>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</si>
  <si>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</si>
  <si>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</si>
  <si>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</si>
  <si>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</si>
  <si>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</si>
  <si>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</si>
  <si>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</si>
  <si>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</si>
  <si>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</si>
  <si>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</si>
  <si>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</si>
  <si>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</si>
  <si>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</si>
  <si>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</si>
  <si>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</si>
  <si>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</si>
  <si>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</si>
  <si>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</si>
  <si>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</si>
  <si>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</si>
  <si>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</si>
  <si>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</si>
  <si>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</si>
  <si>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</si>
  <si>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</si>
  <si>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</si>
  <si>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</si>
  <si>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</si>
  <si>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</si>
  <si>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</si>
  <si>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</si>
  <si>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</si>
  <si>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</si>
  <si>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</si>
  <si>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</si>
  <si>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</si>
  <si>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</si>
  <si>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</si>
  <si>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</si>
  <si>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</si>
  <si>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</si>
  <si>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</si>
  <si>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</si>
  <si>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</si>
  <si>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</si>
  <si>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</si>
  <si>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</si>
  <si>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</si>
  <si>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</si>
  <si>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</si>
  <si>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</si>
  <si>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</si>
  <si>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</si>
  <si>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</si>
  <si>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</si>
  <si>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</si>
  <si>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</si>
  <si>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</si>
  <si>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</si>
  <si>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</si>
  <si>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</si>
  <si>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</si>
  <si>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</si>
  <si>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</si>
  <si>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</si>
  <si>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</si>
  <si>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</si>
  <si>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</si>
  <si>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</si>
  <si>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</si>
  <si>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</si>
  <si>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</si>
  <si>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</si>
  <si>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</si>
  <si>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</si>
  <si>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</si>
  <si>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</si>
  <si>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</si>
  <si>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</si>
  <si>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</si>
  <si>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</si>
  <si>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</si>
  <si>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</si>
  <si>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</si>
  <si>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</si>
  <si>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</si>
  <si>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</si>
  <si>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</si>
  <si>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</si>
  <si>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</si>
  <si>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</si>
  <si>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</si>
  <si>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</si>
  <si>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</si>
  <si>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</si>
  <si>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</si>
  <si>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</si>
  <si>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</si>
  <si>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</si>
  <si>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</si>
  <si>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</si>
  <si>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</si>
  <si>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</si>
  <si>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</si>
  <si>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</si>
  <si>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</si>
  <si>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</si>
  <si>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</si>
  <si>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</si>
  <si>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</si>
  <si>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</si>
  <si>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</si>
  <si>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</si>
  <si>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</si>
  <si>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</si>
  <si>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</si>
  <si>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</si>
  <si>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</si>
  <si>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</si>
  <si>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</si>
  <si>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</si>
  <si>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</si>
  <si>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</si>
  <si>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</si>
  <si>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</si>
  <si>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</si>
  <si>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</si>
  <si>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</si>
  <si>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</si>
  <si>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</si>
  <si>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</si>
  <si>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</si>
  <si>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</si>
  <si>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</si>
  <si>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</si>
  <si>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</si>
  <si>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</si>
  <si>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</si>
  <si>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</si>
  <si>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</si>
  <si>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</si>
  <si>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</si>
  <si>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</si>
  <si>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</si>
  <si>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</si>
  <si>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</si>
  <si>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</si>
  <si>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</si>
  <si>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</si>
  <si>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</si>
  <si>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</si>
  <si>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</si>
  <si>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</si>
  <si>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</si>
  <si>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</si>
  <si>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</si>
  <si>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</si>
  <si>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</si>
  <si>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</si>
  <si>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</si>
  <si>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</si>
  <si>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</si>
  <si>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</si>
  <si>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</si>
  <si>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</si>
  <si>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</si>
  <si>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</si>
  <si>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</si>
  <si>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</si>
  <si>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</si>
  <si>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</si>
  <si>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</si>
  <si>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</si>
  <si>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</si>
  <si>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</si>
  <si>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</si>
  <si>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</si>
  <si>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</si>
  <si>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</si>
  <si>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</si>
  <si>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</si>
  <si>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</si>
  <si>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</si>
  <si>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</si>
  <si>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</si>
  <si>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</si>
  <si>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</si>
  <si>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</si>
  <si>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</si>
  <si>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</si>
  <si>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</si>
  <si>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</si>
  <si>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</si>
  <si>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</si>
  <si>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</si>
  <si>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</si>
  <si>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</si>
  <si>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</si>
  <si>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</si>
  <si>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</si>
  <si>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</si>
  <si>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</si>
  <si>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</si>
  <si>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</si>
  <si>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</si>
  <si>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</si>
  <si>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</si>
  <si>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</si>
  <si>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</si>
  <si>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</si>
  <si>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</si>
  <si>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</si>
  <si>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</si>
  <si>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</si>
  <si>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</si>
  <si>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</si>
  <si>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</si>
  <si>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</si>
  <si>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</si>
  <si>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</si>
  <si>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</si>
  <si>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</si>
  <si>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</si>
  <si>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</si>
  <si>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</si>
  <si>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</si>
  <si>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</si>
  <si>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</si>
  <si>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</si>
  <si>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</si>
  <si>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</si>
  <si>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</si>
  <si>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</si>
  <si>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</si>
  <si>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</si>
  <si>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</si>
  <si>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</si>
  <si>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</si>
  <si>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</si>
  <si>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</si>
  <si>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</si>
  <si>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</si>
  <si>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</si>
  <si>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</si>
  <si>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</si>
  <si>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</si>
  <si>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</si>
  <si>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</si>
  <si>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</si>
  <si>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</si>
  <si>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</si>
  <si>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</si>
  <si>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</si>
  <si>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</si>
  <si>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</si>
  <si>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</si>
  <si>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</si>
  <si>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</si>
  <si>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</si>
  <si>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</si>
  <si>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</si>
  <si>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</si>
  <si>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</si>
  <si>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</si>
  <si>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</si>
  <si>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</si>
  <si>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</si>
  <si>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</si>
  <si>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</si>
  <si>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</si>
  <si>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</si>
  <si>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</si>
  <si>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</si>
  <si>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</si>
  <si>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</si>
  <si>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</si>
  <si>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</si>
  <si>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</si>
  <si>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</si>
  <si>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</si>
  <si>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</si>
  <si>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</si>
  <si>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</si>
  <si>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</si>
  <si>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</si>
  <si>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</si>
  <si>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</si>
  <si>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</si>
  <si>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</si>
  <si>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</si>
  <si>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</si>
  <si>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</si>
  <si>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</si>
  <si>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</si>
  <si>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</si>
  <si>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</si>
  <si>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</si>
  <si>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</si>
  <si>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</si>
  <si>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</si>
  <si>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</si>
  <si>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</si>
  <si>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</si>
  <si>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</si>
  <si>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</si>
  <si>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</si>
  <si>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</si>
  <si>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</si>
  <si>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</si>
  <si>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</si>
  <si>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</si>
  <si>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</si>
  <si>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</si>
  <si>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</si>
  <si>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</si>
  <si>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</si>
  <si>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</si>
  <si>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</si>
  <si>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</si>
  <si>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</si>
  <si>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</si>
  <si>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</si>
  <si>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</si>
  <si>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</si>
  <si>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</si>
  <si>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</si>
  <si>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</si>
  <si>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</si>
  <si>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</si>
  <si>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</si>
  <si>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</si>
  <si>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</si>
  <si>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</si>
  <si>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</si>
  <si>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</si>
  <si>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</si>
  <si>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</si>
  <si>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</si>
  <si>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</si>
  <si>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</si>
  <si>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</si>
  <si>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</si>
  <si>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</si>
  <si>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</si>
  <si>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</si>
  <si>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</si>
  <si>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</si>
  <si>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</si>
  <si>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</si>
  <si>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</si>
  <si>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</si>
  <si>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</si>
  <si>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</si>
  <si>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</si>
  <si>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</si>
  <si>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</si>
  <si>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</si>
  <si>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</si>
  <si>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</si>
  <si>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</si>
  <si>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</si>
  <si>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</si>
  <si>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</si>
  <si>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</si>
  <si>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</si>
  <si>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</si>
  <si>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</si>
  <si>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</si>
  <si>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</si>
  <si>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</si>
  <si>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</si>
  <si>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</si>
  <si>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</si>
  <si>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</si>
  <si>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</si>
  <si>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</si>
  <si>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</si>
  <si>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</si>
  <si>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</si>
  <si>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</si>
  <si>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</si>
  <si>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</si>
  <si>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</si>
  <si>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</si>
  <si>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</si>
  <si>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</si>
  <si>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</si>
  <si>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</si>
  <si>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</si>
  <si>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</si>
  <si>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</si>
  <si>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</si>
  <si>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</si>
  <si>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</si>
  <si>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</si>
  <si>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</si>
  <si>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</si>
  <si>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</si>
  <si>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</si>
  <si>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</si>
  <si>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</si>
  <si>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</si>
  <si>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</si>
  <si>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</si>
  <si>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</si>
  <si>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</si>
  <si>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</si>
  <si>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</si>
  <si>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</si>
  <si>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</si>
  <si>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</si>
  <si>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</si>
  <si>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</si>
  <si>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</si>
  <si>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</si>
  <si>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</si>
  <si>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</si>
  <si>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</si>
  <si>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</si>
  <si>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</si>
  <si>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</si>
  <si>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</si>
  <si>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</si>
  <si>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</si>
  <si>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</si>
  <si>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</si>
  <si>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</si>
  <si>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</si>
  <si>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</si>
  <si>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</si>
  <si>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</si>
  <si>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</si>
  <si>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</si>
  <si>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</si>
  <si>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</si>
  <si>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</si>
  <si>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</si>
  <si>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</si>
  <si>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</si>
  <si>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</si>
  <si>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</si>
  <si>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</si>
  <si>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</si>
  <si>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</si>
  <si>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</si>
  <si>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</si>
  <si>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</si>
  <si>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</si>
  <si>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</si>
  <si>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</si>
  <si>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</si>
  <si>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</si>
  <si>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</si>
  <si>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</si>
  <si>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</si>
  <si>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</si>
  <si>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</si>
  <si>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</si>
  <si>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</si>
  <si>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</si>
  <si>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</si>
  <si>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</si>
  <si>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</si>
  <si>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</si>
  <si>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</si>
  <si>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</si>
  <si>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</si>
  <si>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</si>
  <si>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</si>
  <si>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</si>
  <si>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</si>
  <si>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</si>
  <si>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</si>
  <si>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</si>
  <si>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</si>
  <si>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</si>
  <si>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</si>
  <si>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</si>
  <si>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</si>
  <si>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</si>
  <si>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</si>
  <si>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</si>
  <si>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</si>
  <si>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</si>
  <si>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</si>
  <si>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</si>
  <si>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</si>
  <si>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</si>
  <si>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</si>
  <si>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</si>
  <si>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</si>
  <si>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</si>
  <si>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</si>
  <si>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</si>
  <si>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</si>
  <si>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</si>
  <si>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</si>
  <si>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</si>
  <si>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</si>
  <si>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</si>
  <si>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</si>
  <si>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</si>
  <si>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</si>
  <si>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</si>
  <si>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</si>
  <si>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</si>
  <si>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</si>
  <si>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</si>
  <si>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</si>
  <si>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</si>
  <si>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</si>
  <si>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</si>
  <si>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</si>
  <si>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</si>
  <si>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</si>
  <si>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</si>
  <si>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</si>
  <si>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</si>
  <si>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</si>
  <si>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</si>
  <si>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</si>
  <si>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</si>
  <si>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</si>
  <si>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</si>
  <si>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</si>
  <si>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</si>
  <si>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</si>
  <si>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</si>
  <si>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</si>
  <si>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</si>
  <si>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</si>
  <si>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</si>
  <si>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</si>
  <si>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</si>
  <si>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</si>
  <si>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</si>
  <si>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</si>
  <si>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</si>
  <si>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</si>
  <si>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</si>
  <si>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</si>
  <si>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</si>
  <si>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</si>
  <si>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</si>
  <si>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</si>
  <si>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</si>
  <si>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</si>
  <si>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</si>
  <si>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</si>
  <si>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</si>
  <si>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</si>
  <si>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</si>
  <si>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</si>
  <si>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</si>
  <si>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</si>
  <si>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</si>
  <si>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</si>
  <si>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</si>
  <si>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</si>
  <si>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</si>
  <si>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</si>
  <si>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</si>
  <si>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</si>
  <si>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</si>
  <si>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</si>
  <si>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</si>
  <si>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</si>
  <si>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</si>
  <si>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</si>
  <si>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</si>
  <si>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</si>
  <si>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</si>
  <si>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</si>
  <si>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</si>
  <si>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</si>
  <si>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</si>
  <si>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</si>
  <si>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</si>
  <si>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</si>
  <si>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</si>
  <si>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</si>
  <si>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</si>
  <si>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</si>
  <si>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</si>
  <si>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</si>
  <si>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</si>
  <si>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</si>
  <si>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</si>
  <si>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</si>
  <si>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</si>
  <si>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</si>
  <si>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</si>
  <si>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</si>
  <si>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</si>
  <si>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</si>
  <si>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</si>
  <si>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</si>
  <si>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</si>
  <si>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</si>
  <si>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</si>
  <si>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</si>
  <si>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</si>
  <si>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</si>
  <si>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</si>
  <si>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</si>
  <si>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</si>
  <si>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</si>
  <si>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</si>
  <si>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</si>
  <si>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</si>
  <si>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</si>
  <si>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</si>
  <si>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</si>
  <si>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</si>
  <si>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</si>
  <si>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</si>
  <si>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</si>
  <si>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</si>
  <si>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</si>
  <si>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</si>
  <si>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</si>
  <si>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</si>
  <si>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</si>
  <si>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</si>
  <si>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</si>
  <si>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</si>
  <si>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</si>
  <si>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</si>
  <si>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</si>
  <si>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</si>
  <si>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</si>
  <si>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</si>
  <si>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</si>
  <si>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</si>
  <si>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</si>
  <si>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</si>
  <si>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</si>
  <si>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</si>
  <si>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</si>
  <si>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</si>
  <si>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</si>
  <si>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</si>
  <si>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</si>
  <si>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</si>
  <si>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</si>
  <si>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</si>
  <si>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</si>
  <si>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</si>
  <si>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</si>
  <si>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</si>
  <si>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</si>
  <si>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</si>
  <si>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</si>
  <si>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</si>
  <si>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</si>
  <si>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</si>
  <si>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</si>
  <si>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</si>
  <si>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</si>
  <si>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</si>
  <si>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</si>
  <si>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</si>
  <si>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</si>
  <si>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</si>
  <si>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</si>
  <si>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</si>
  <si>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</si>
  <si>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</si>
  <si>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</si>
  <si>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</si>
  <si>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</si>
  <si>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</si>
  <si>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</si>
  <si>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</si>
  <si>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</si>
  <si>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</si>
  <si>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</si>
  <si>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</si>
  <si>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</si>
  <si>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</si>
  <si>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</si>
  <si>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</si>
  <si>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</si>
  <si>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</si>
  <si>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</si>
  <si>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</si>
  <si>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</si>
  <si>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</si>
  <si>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</si>
  <si>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</si>
  <si>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</si>
  <si>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</si>
  <si>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</si>
  <si>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</si>
  <si>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</si>
  <si>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</si>
  <si>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</si>
  <si>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</si>
  <si>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</si>
  <si>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</si>
  <si>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</si>
  <si>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</si>
  <si>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</si>
  <si>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</si>
  <si>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</si>
  <si>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</si>
  <si>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</si>
  <si>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</si>
  <si>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</si>
  <si>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</si>
  <si>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</si>
  <si>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</si>
  <si>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</si>
  <si>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</si>
  <si>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</si>
  <si>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</si>
  <si>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</si>
  <si>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</si>
  <si>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</si>
  <si>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</si>
  <si>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</si>
  <si>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</si>
  <si>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</si>
  <si>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</si>
  <si>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</si>
  <si>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</si>
  <si>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</si>
  <si>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</si>
  <si>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</si>
  <si>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</si>
  <si>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</si>
  <si>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</si>
  <si>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</si>
  <si>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</si>
  <si>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</si>
  <si>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</si>
  <si>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</si>
  <si>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</si>
  <si>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</si>
  <si>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</si>
  <si>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</si>
  <si>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</si>
  <si>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</si>
  <si>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</si>
  <si>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</si>
  <si>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</si>
  <si>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</si>
  <si>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</si>
  <si>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</si>
  <si>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</si>
  <si>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</si>
  <si>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</si>
  <si>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</si>
  <si>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</si>
  <si>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</si>
  <si>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</si>
  <si>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</si>
  <si>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</si>
  <si>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</si>
  <si>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</si>
  <si>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</si>
  <si>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</si>
  <si>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</si>
  <si>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</si>
  <si>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</si>
  <si>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</si>
  <si>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</si>
  <si>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</si>
  <si>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</si>
  <si>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</si>
  <si>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</si>
  <si>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</si>
  <si>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</si>
  <si>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</si>
  <si>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</si>
  <si>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</si>
  <si>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</si>
  <si>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</si>
  <si>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</si>
  <si>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</si>
  <si>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</si>
  <si>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</si>
  <si>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</si>
  <si>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</si>
  <si>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</si>
  <si>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</si>
  <si>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</si>
  <si>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</si>
  <si>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</si>
  <si>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</si>
  <si>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</si>
  <si>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</si>
  <si>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</si>
  <si>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</si>
  <si>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</si>
  <si>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</si>
  <si>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</si>
  <si>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</si>
  <si>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</si>
  <si>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</si>
  <si>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</si>
  <si>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</si>
  <si>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</si>
  <si>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</si>
  <si>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</si>
  <si>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</si>
  <si>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</si>
  <si>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</si>
  <si>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</si>
  <si>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</si>
  <si>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</si>
  <si>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</si>
  <si>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</si>
  <si>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</si>
  <si>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</si>
  <si>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</si>
  <si>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</si>
  <si>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</si>
  <si>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</si>
  <si>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</si>
  <si>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</si>
  <si>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</si>
  <si>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</si>
  <si>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</si>
  <si>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</si>
  <si>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</si>
  <si>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</si>
  <si>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</si>
  <si>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</si>
  <si>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</si>
  <si>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</si>
  <si>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</si>
  <si>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</si>
  <si>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</si>
  <si>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</si>
  <si>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</si>
  <si>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</si>
  <si>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</si>
  <si>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</si>
  <si>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</si>
  <si>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</si>
  <si>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</si>
  <si>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</si>
  <si>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</si>
  <si>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</si>
  <si>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</si>
  <si>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</si>
  <si>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</si>
  <si>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</si>
  <si>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</si>
  <si>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</si>
  <si>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</si>
  <si>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</si>
  <si>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</si>
  <si>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</si>
  <si>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</si>
  <si>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</si>
  <si>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</si>
  <si>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</si>
  <si>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</si>
  <si>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</si>
  <si>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</si>
  <si>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</si>
  <si>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</si>
  <si>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</si>
  <si>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</si>
  <si>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</si>
  <si>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</si>
  <si>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</si>
  <si>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</si>
  <si>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</si>
  <si>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</si>
  <si>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</si>
  <si>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</si>
  <si>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</si>
  <si>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</si>
  <si>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</si>
  <si>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</si>
  <si>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</si>
  <si>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</si>
  <si>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</si>
  <si>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</si>
  <si>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</si>
  <si>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</si>
  <si>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</si>
  <si>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</si>
  <si>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</si>
  <si>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</si>
  <si>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</si>
  <si>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</si>
  <si>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</si>
  <si>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</si>
  <si>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</si>
  <si>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</si>
  <si>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</si>
  <si>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</si>
  <si>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</si>
  <si>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</si>
  <si>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</si>
  <si>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</si>
  <si>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</si>
  <si>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</si>
  <si>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</si>
  <si>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</si>
  <si>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</si>
  <si>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</si>
  <si>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</si>
  <si>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</si>
  <si>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</si>
  <si>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</si>
  <si>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</si>
  <si>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</si>
  <si>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</si>
  <si>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</si>
  <si>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</si>
  <si>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</si>
  <si>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</si>
  <si>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</si>
  <si>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</si>
  <si>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</si>
  <si>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</si>
  <si>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</si>
  <si>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</si>
  <si>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</si>
  <si>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</si>
  <si>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</si>
  <si>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</si>
  <si>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</si>
  <si>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</si>
  <si>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</si>
  <si>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</si>
  <si>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</si>
  <si>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</si>
  <si>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</si>
  <si>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</si>
  <si>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</si>
  <si>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</si>
  <si>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</si>
  <si>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</si>
  <si>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</si>
  <si>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</si>
  <si>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</si>
  <si>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</si>
  <si>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</si>
  <si>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</si>
  <si>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</si>
  <si>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</si>
  <si>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</si>
  <si>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</si>
  <si>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</si>
  <si>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</si>
  <si>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</si>
  <si>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</si>
  <si>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</si>
  <si>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</si>
  <si>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</si>
  <si>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</si>
  <si>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</si>
  <si>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</si>
  <si>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</si>
  <si>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</si>
  <si>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</si>
  <si>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</si>
  <si>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</si>
  <si>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</si>
  <si>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</si>
  <si>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</si>
  <si>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</si>
  <si>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</si>
  <si>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</si>
  <si>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</si>
  <si>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</si>
  <si>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</si>
  <si>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</si>
  <si>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</si>
  <si>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</si>
  <si>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</si>
  <si>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</si>
  <si>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</si>
  <si>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</si>
  <si>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</si>
  <si>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</si>
  <si>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</si>
  <si>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</si>
  <si>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</si>
  <si>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</si>
  <si>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</si>
  <si>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</si>
  <si>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</si>
  <si>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</si>
  <si>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</si>
  <si>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</si>
  <si>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</si>
  <si>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</si>
  <si>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</si>
  <si>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</si>
  <si>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</si>
  <si>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</si>
  <si>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</si>
  <si>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</si>
  <si>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</si>
  <si>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</si>
  <si>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</si>
  <si>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</si>
  <si>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</si>
  <si>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</si>
  <si>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</si>
  <si>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</si>
  <si>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</si>
  <si>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</si>
  <si>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</si>
  <si>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</si>
  <si>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</si>
  <si>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</si>
  <si>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</si>
  <si>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</si>
  <si>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</si>
  <si>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</si>
  <si>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</si>
  <si>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</si>
  <si>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</si>
  <si>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</si>
  <si>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</si>
  <si>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</si>
  <si>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</si>
  <si>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</si>
  <si>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</si>
  <si>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</si>
  <si>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</si>
  <si>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</si>
  <si>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</si>
  <si>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</si>
  <si>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</si>
  <si>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</si>
  <si>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</si>
  <si>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</si>
  <si>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</si>
  <si>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</si>
  <si>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</si>
  <si>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</si>
  <si>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</si>
  <si>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</si>
  <si>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</si>
  <si>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</si>
  <si>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</si>
  <si>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</si>
  <si>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</si>
  <si>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</si>
  <si>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</si>
  <si>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</si>
  <si>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</si>
  <si>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</si>
  <si>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</si>
  <si>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</si>
  <si>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</si>
  <si>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</si>
  <si>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</si>
  <si>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</si>
  <si>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</si>
  <si>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</si>
  <si>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</si>
  <si>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</si>
  <si>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</si>
  <si>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</si>
  <si>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</si>
  <si>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</si>
  <si>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</si>
  <si>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</si>
  <si>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</si>
  <si>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</si>
  <si>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</si>
  <si>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</si>
  <si>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</si>
  <si>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</si>
  <si>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</si>
  <si>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</si>
  <si>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</si>
  <si>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</si>
  <si>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</si>
  <si>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</si>
  <si>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</si>
  <si>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</si>
  <si>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</si>
  <si>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</si>
  <si>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</si>
  <si>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</si>
  <si>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</si>
  <si>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</si>
  <si>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</si>
  <si>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</si>
  <si>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</si>
  <si>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</si>
  <si>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</si>
  <si>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</si>
  <si>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</si>
  <si>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</si>
  <si>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</si>
  <si>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</si>
  <si>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</si>
  <si>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</si>
  <si>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</si>
  <si>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</si>
  <si>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</si>
  <si>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</si>
  <si>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</si>
  <si>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</si>
  <si>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</si>
  <si>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</si>
  <si>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</si>
  <si>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</si>
  <si>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</si>
  <si>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</si>
  <si>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</si>
  <si>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</si>
  <si>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</si>
  <si>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</si>
  <si>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</si>
  <si>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</si>
  <si>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</si>
  <si>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</si>
  <si>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</si>
  <si>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</si>
  <si>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</si>
  <si>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</si>
  <si>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</si>
  <si>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</si>
  <si>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</si>
  <si>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</si>
  <si>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</si>
  <si>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</si>
  <si>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</si>
  <si>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</si>
  <si>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</si>
  <si>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</si>
  <si>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</si>
  <si>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</si>
  <si>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</si>
  <si>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</si>
  <si>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</si>
  <si>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</si>
  <si>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</si>
  <si>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</si>
  <si>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</si>
  <si>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</si>
  <si>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</si>
  <si>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</si>
  <si>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</si>
  <si>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</si>
  <si>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</si>
  <si>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</si>
  <si>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</si>
  <si>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</si>
  <si>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</si>
  <si>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</si>
  <si>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</si>
  <si>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</si>
  <si>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</si>
  <si>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</si>
  <si>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</si>
  <si>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</si>
  <si>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</si>
  <si>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</si>
  <si>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</si>
  <si>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</si>
  <si>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</si>
  <si>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</si>
  <si>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</si>
  <si>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</si>
  <si>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</si>
  <si>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</si>
  <si>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</si>
  <si>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</si>
  <si>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</si>
  <si>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</si>
  <si>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</si>
  <si>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</si>
  <si>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</si>
  <si>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</si>
  <si>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</si>
  <si>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</si>
  <si>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</si>
  <si>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</si>
  <si>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</si>
  <si>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</si>
  <si>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</si>
  <si>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</si>
  <si>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</si>
  <si>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</si>
  <si>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</si>
  <si>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</si>
  <si>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</si>
  <si>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</si>
  <si>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</si>
  <si>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</si>
  <si>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</si>
  <si>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</si>
  <si>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</si>
  <si>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</si>
  <si>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</si>
  <si>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</si>
  <si>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</si>
  <si>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</si>
  <si>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</si>
  <si>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</si>
  <si>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</si>
  <si>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</si>
  <si>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</si>
  <si>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</si>
  <si>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</si>
  <si>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</si>
  <si>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</si>
  <si>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</si>
  <si>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</si>
  <si>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</si>
  <si>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</si>
  <si>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</si>
  <si>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</si>
  <si>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</si>
  <si>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</si>
  <si>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</si>
  <si>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</si>
  <si>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</si>
  <si>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</si>
  <si>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</si>
  <si>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</si>
  <si>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</si>
  <si>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</si>
  <si>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</si>
  <si>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</si>
  <si>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</si>
  <si>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</si>
  <si>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</si>
  <si>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</si>
  <si>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</si>
  <si>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</si>
  <si>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</si>
  <si>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</si>
  <si>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</si>
  <si>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</si>
  <si>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</si>
  <si>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</si>
  <si>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</si>
  <si>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</si>
  <si>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</si>
  <si>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</si>
  <si>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</si>
  <si>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</si>
  <si>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</si>
  <si>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</si>
  <si>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</si>
  <si>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</si>
  <si>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</si>
  <si>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</si>
  <si>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</si>
  <si>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</si>
  <si>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</si>
  <si>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</si>
  <si>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</si>
  <si>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</si>
  <si>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</si>
  <si>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</si>
  <si>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</si>
  <si>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</si>
  <si>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</si>
  <si>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</si>
  <si>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</si>
  <si>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</si>
  <si>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</si>
  <si>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</si>
  <si>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</si>
  <si>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</si>
  <si>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</si>
  <si>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</si>
  <si>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</si>
  <si>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</si>
  <si>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</si>
  <si>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</si>
  <si>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</si>
  <si>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</si>
  <si>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</si>
  <si>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</si>
  <si>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</si>
  <si>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</si>
  <si>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</si>
  <si>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</si>
  <si>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</si>
  <si>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</si>
  <si>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</si>
  <si>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</si>
  <si>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</si>
  <si>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</si>
  <si>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</si>
  <si>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</si>
  <si>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</si>
  <si>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</si>
  <si>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</si>
  <si>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</si>
  <si>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</si>
  <si>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</si>
  <si>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</si>
  <si>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</si>
  <si>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</si>
  <si>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</si>
  <si>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</si>
  <si>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</si>
  <si>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</si>
  <si>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</si>
  <si>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</si>
  <si>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</si>
  <si>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</si>
  <si>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</si>
  <si>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</si>
  <si>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</si>
  <si>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</si>
  <si>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</si>
  <si>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</si>
  <si>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</si>
  <si>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</si>
  <si>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</si>
  <si>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</si>
  <si>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</si>
  <si>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</si>
  <si>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</si>
  <si>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</si>
  <si>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</si>
  <si>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</si>
  <si>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</si>
  <si>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</si>
  <si>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</si>
  <si>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</si>
  <si>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</si>
  <si>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</si>
  <si>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</si>
  <si>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</si>
  <si>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</si>
  <si>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</si>
  <si>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</si>
  <si>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</si>
  <si>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</si>
  <si>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</si>
  <si>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</si>
  <si>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</si>
  <si>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</si>
  <si>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</si>
  <si>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</si>
  <si>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</si>
  <si>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</si>
  <si>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</si>
  <si>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</si>
  <si>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</si>
  <si>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</si>
  <si>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</si>
  <si>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</si>
  <si>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</si>
  <si>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</si>
  <si>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</si>
  <si>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</si>
  <si>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</si>
  <si>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</si>
  <si>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</si>
  <si>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</si>
  <si>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</si>
  <si>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</si>
  <si>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</si>
  <si>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</si>
  <si>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</si>
  <si>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</si>
  <si>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</si>
  <si>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</si>
  <si>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</si>
  <si>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</si>
  <si>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</si>
  <si>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</si>
  <si>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</si>
  <si>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</si>
  <si>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</si>
  <si>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</si>
  <si>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</si>
  <si>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</si>
  <si>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</si>
  <si>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</si>
  <si>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</si>
  <si>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</si>
  <si>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</si>
  <si>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</si>
  <si>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</si>
  <si>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</si>
  <si>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</si>
  <si>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</si>
  <si>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</si>
  <si>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</si>
  <si>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</si>
  <si>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</si>
  <si>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</si>
  <si>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</si>
  <si>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</si>
  <si>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</si>
  <si>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</si>
  <si>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</si>
  <si>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</si>
  <si>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</si>
  <si>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</si>
  <si>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</si>
  <si>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</si>
  <si>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</si>
  <si>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</si>
  <si>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</si>
  <si>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</si>
  <si>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</si>
  <si>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</si>
  <si>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</si>
  <si>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</si>
  <si>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</si>
  <si>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</si>
  <si>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</si>
  <si>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</si>
  <si>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</si>
  <si>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</si>
  <si>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</si>
  <si>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</si>
  <si>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</si>
  <si>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</si>
  <si>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</si>
  <si>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</si>
  <si>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</si>
  <si>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</si>
  <si>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</si>
  <si>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</si>
  <si>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</si>
  <si>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</si>
  <si>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</si>
  <si>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</si>
  <si>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</si>
  <si>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</si>
  <si>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</si>
  <si>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</si>
  <si>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</si>
  <si>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</si>
  <si>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</si>
  <si>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</si>
  <si>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</si>
  <si>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</si>
  <si>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</si>
  <si>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</si>
  <si>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</si>
  <si>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</si>
  <si>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</si>
  <si>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</si>
  <si>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</si>
  <si>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</si>
  <si>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</si>
  <si>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</si>
  <si>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</si>
  <si>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</si>
  <si>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</si>
  <si>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</si>
  <si>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</si>
  <si>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</si>
  <si>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</si>
  <si>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</si>
  <si>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</si>
  <si>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</si>
  <si>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</si>
  <si>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</si>
  <si>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</si>
  <si>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</si>
  <si>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</si>
  <si>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</si>
  <si>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</si>
  <si>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</si>
  <si>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</si>
  <si>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</si>
  <si>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</si>
  <si>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</si>
  <si>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</si>
  <si>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</si>
  <si>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</si>
  <si>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</si>
  <si>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</si>
  <si>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</si>
  <si>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</si>
  <si>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</si>
  <si>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</si>
  <si>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</si>
  <si>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</si>
  <si>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</si>
  <si>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</si>
  <si>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</si>
  <si>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</si>
  <si>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</si>
  <si>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</si>
  <si>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</si>
  <si>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</si>
  <si>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</si>
  <si>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</si>
  <si>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</si>
  <si>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</si>
  <si>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</si>
  <si>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</si>
  <si>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</si>
  <si>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</si>
  <si>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</si>
  <si>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</si>
  <si>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</si>
  <si>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</si>
  <si>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</si>
  <si>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</si>
  <si>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</si>
  <si>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</si>
  <si>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</si>
  <si>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</si>
  <si>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</si>
  <si>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</si>
  <si>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</si>
  <si>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</si>
  <si>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</si>
  <si>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</si>
  <si>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</si>
  <si>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</si>
  <si>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</si>
  <si>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</si>
  <si>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</si>
  <si>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</si>
  <si>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</si>
  <si>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</si>
  <si>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</si>
  <si>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</si>
  <si>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</si>
  <si>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</si>
  <si>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</si>
  <si>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</si>
  <si>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</si>
  <si>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</si>
  <si>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</si>
  <si>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</si>
  <si>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</si>
  <si>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</si>
  <si>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</si>
  <si>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</si>
  <si>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</si>
  <si>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</si>
  <si>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</si>
  <si>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</si>
  <si>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</si>
  <si>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</si>
  <si>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</si>
  <si>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</si>
  <si>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</si>
  <si>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</si>
  <si>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</si>
  <si>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</si>
  <si>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</si>
  <si>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</si>
  <si>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</si>
  <si>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</si>
  <si>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</si>
  <si>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</si>
  <si>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</si>
  <si>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</si>
  <si>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</si>
  <si>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</si>
  <si>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</si>
  <si>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</si>
  <si>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</si>
  <si>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</si>
  <si>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</si>
  <si>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</si>
  <si>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</si>
  <si>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</si>
  <si>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</si>
  <si>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</si>
  <si>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</si>
  <si>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</si>
  <si>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</si>
  <si>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</si>
  <si>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</si>
  <si>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</si>
  <si>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</si>
  <si>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</si>
  <si>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</si>
  <si>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</si>
  <si>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</si>
  <si>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</si>
  <si>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</si>
  <si>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</si>
  <si>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</si>
  <si>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</si>
  <si>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</si>
  <si>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</si>
  <si>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</si>
  <si>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</si>
  <si>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</si>
  <si>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</si>
  <si>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</si>
  <si>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</si>
  <si>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</si>
  <si>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</si>
  <si>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</si>
  <si>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</si>
  <si>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</si>
  <si>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</si>
  <si>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</si>
  <si>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</si>
  <si>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</si>
  <si>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</si>
  <si>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</si>
  <si>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</si>
  <si>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</si>
  <si>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</si>
  <si>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</si>
  <si>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</si>
  <si>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</si>
  <si>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</si>
  <si>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</si>
  <si>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</si>
  <si>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</si>
  <si>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</si>
  <si>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</si>
  <si>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</si>
  <si>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</si>
  <si>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</si>
  <si>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</si>
  <si>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</si>
  <si>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</si>
  <si>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</si>
  <si>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</si>
  <si>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</si>
  <si>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</si>
  <si>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</si>
  <si>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</si>
  <si>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</si>
  <si>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</si>
  <si>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</si>
  <si>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</si>
  <si>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</si>
  <si>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</si>
  <si>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</si>
  <si>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</si>
  <si>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</si>
  <si>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</si>
  <si>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</si>
  <si>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</si>
  <si>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</si>
  <si>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</si>
  <si>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</si>
  <si>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</si>
  <si>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</si>
  <si>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</si>
  <si>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</si>
  <si>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</si>
  <si>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</si>
  <si>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</si>
  <si>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</si>
  <si>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</si>
  <si>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</si>
  <si>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</si>
  <si>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</si>
  <si>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</si>
  <si>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</si>
  <si>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</si>
  <si>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</si>
  <si>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</si>
  <si>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</si>
  <si>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</si>
  <si>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</si>
  <si>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</si>
  <si>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</si>
  <si>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</si>
  <si>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</si>
  <si>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</si>
  <si>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</si>
  <si>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</si>
  <si>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</si>
  <si>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</si>
  <si>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</si>
  <si>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</si>
  <si>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</si>
  <si>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</si>
  <si>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</si>
  <si>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</si>
  <si>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</si>
  <si>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</si>
  <si>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</si>
  <si>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</si>
  <si>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</si>
  <si>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</si>
  <si>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</si>
  <si>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</si>
  <si>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</si>
  <si>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</si>
  <si>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</si>
  <si>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</si>
  <si>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</si>
  <si>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</si>
  <si>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</si>
  <si>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</si>
  <si>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</si>
  <si>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</si>
  <si>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</si>
  <si>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</si>
  <si>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</si>
  <si>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</si>
  <si>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</si>
  <si>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</si>
  <si>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</si>
  <si>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</si>
  <si>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</si>
  <si>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</si>
  <si>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</si>
  <si>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</si>
  <si>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</si>
  <si>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</si>
  <si>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</si>
  <si>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</si>
  <si>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</si>
  <si>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</si>
  <si>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</si>
  <si>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</si>
  <si>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</si>
  <si>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</si>
  <si>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</si>
  <si>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</si>
  <si>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</si>
  <si>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</si>
  <si>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</si>
  <si>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</si>
  <si>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</si>
  <si>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</si>
  <si>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</si>
  <si>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</si>
  <si>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</si>
  <si>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</si>
  <si>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</si>
  <si>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</si>
  <si>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</si>
  <si>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</si>
  <si>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</si>
  <si>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</si>
  <si>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</si>
  <si>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</si>
  <si>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</si>
  <si>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</si>
  <si>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</si>
  <si>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</si>
  <si>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</si>
  <si>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</si>
  <si>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</si>
  <si>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</si>
  <si>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</si>
  <si>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</si>
  <si>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</si>
  <si>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</si>
  <si>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</si>
  <si>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</si>
  <si>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</si>
  <si>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</si>
  <si>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</si>
  <si>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</si>
  <si>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</si>
  <si>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</si>
  <si>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</si>
  <si>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</si>
  <si>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</si>
  <si>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</si>
  <si>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</si>
  <si>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</si>
  <si>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</si>
  <si>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</si>
  <si>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</si>
  <si>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</si>
  <si>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</si>
  <si>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</si>
  <si>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</si>
  <si>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</si>
  <si>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</si>
  <si>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</si>
  <si>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</si>
  <si>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</si>
  <si>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</si>
  <si>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</si>
  <si>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</si>
  <si>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</si>
  <si>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</si>
  <si>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</si>
  <si>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</si>
  <si>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</si>
  <si>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</si>
  <si>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</si>
  <si>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</si>
  <si>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</si>
  <si>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</si>
  <si>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</si>
  <si>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</si>
  <si>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</si>
  <si>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</si>
  <si>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</si>
  <si>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</si>
  <si>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</si>
  <si>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</si>
  <si>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</si>
  <si>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</si>
  <si>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</si>
  <si>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</si>
  <si>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</si>
  <si>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</si>
  <si>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</si>
  <si>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</si>
  <si>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</si>
  <si>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</si>
  <si>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</si>
  <si>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</si>
  <si>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</si>
  <si>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</si>
  <si>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</si>
  <si>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</si>
  <si>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</si>
  <si>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</si>
  <si>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</si>
  <si>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</si>
  <si>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</si>
  <si>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</si>
  <si>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</si>
  <si>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</si>
  <si>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</si>
  <si>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</si>
  <si>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</si>
  <si>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</si>
  <si>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</si>
  <si>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</si>
  <si>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</si>
  <si>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</si>
  <si>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</si>
  <si>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</si>
  <si>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</si>
  <si>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</si>
  <si>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</si>
  <si>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</si>
  <si>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</si>
  <si>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</si>
  <si>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</si>
  <si>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</si>
  <si>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</si>
  <si>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</si>
  <si>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</si>
  <si>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</si>
  <si>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</si>
  <si>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</si>
  <si>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</si>
  <si>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</si>
  <si>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</si>
  <si>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</si>
  <si>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</si>
  <si>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</si>
  <si>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</si>
  <si>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</si>
  <si>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</si>
  <si>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</si>
  <si>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</si>
  <si>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</si>
  <si>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</si>
  <si>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</si>
  <si>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</si>
  <si>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</si>
  <si>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</si>
  <si>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</si>
  <si>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</si>
  <si>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</si>
  <si>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</si>
  <si>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</si>
  <si>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</si>
  <si>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</si>
  <si>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</si>
  <si>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</si>
  <si>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</si>
  <si>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</si>
  <si>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</si>
  <si>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</si>
  <si>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</si>
  <si>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</si>
  <si>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</si>
  <si>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</si>
  <si>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</si>
  <si>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</si>
  <si>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</si>
  <si>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</si>
  <si>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</si>
  <si>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</si>
  <si>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</si>
  <si>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</si>
  <si>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</si>
  <si>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</si>
  <si>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</si>
  <si>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</si>
  <si>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</si>
  <si>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</si>
  <si>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</si>
  <si>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</si>
  <si>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</si>
  <si>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</si>
  <si>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</si>
  <si>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</si>
  <si>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</si>
  <si>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</si>
  <si>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</si>
  <si>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</si>
  <si>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</si>
  <si>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</si>
  <si>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</si>
  <si>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</si>
  <si>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</si>
  <si>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</si>
  <si>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</si>
  <si>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</si>
  <si>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</si>
  <si>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</si>
  <si>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</si>
  <si>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</si>
  <si>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</si>
  <si>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</si>
  <si>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</si>
  <si>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</si>
  <si>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</si>
  <si>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</si>
  <si>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</si>
  <si>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</si>
  <si>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</si>
  <si>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</si>
  <si>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</si>
  <si>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</si>
  <si>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</si>
  <si>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</si>
  <si>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</si>
  <si>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</si>
  <si>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</si>
  <si>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</si>
  <si>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</si>
  <si>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</si>
  <si>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</si>
  <si>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</si>
  <si>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</si>
  <si>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</si>
  <si>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</si>
  <si>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</si>
  <si>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</si>
  <si>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</si>
  <si>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</si>
  <si>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</si>
  <si>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</si>
  <si>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</si>
  <si>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</si>
  <si>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</si>
  <si>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</si>
  <si>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</si>
  <si>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</si>
  <si>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</si>
  <si>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</si>
  <si>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</si>
  <si>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</si>
  <si>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</si>
  <si>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</si>
  <si>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</si>
  <si>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</si>
  <si>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</si>
  <si>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</si>
  <si>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</si>
  <si>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</si>
  <si>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</si>
  <si>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</si>
  <si>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</si>
  <si>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</si>
  <si>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</si>
  <si>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</si>
  <si>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</si>
  <si>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</si>
  <si>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</si>
  <si>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</si>
  <si>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</si>
  <si>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</si>
  <si>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</si>
  <si>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</si>
  <si>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</si>
  <si>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</si>
  <si>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</si>
  <si>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</si>
  <si>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</si>
  <si>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</si>
  <si>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</si>
  <si>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</si>
  <si>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</si>
  <si>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</si>
  <si>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</si>
  <si>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</si>
  <si>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</si>
  <si>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</si>
  <si>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</si>
  <si>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</si>
  <si>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</si>
  <si>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</si>
  <si>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</si>
  <si>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</si>
  <si>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</si>
  <si>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</si>
  <si>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</si>
  <si>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</si>
  <si>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</si>
  <si>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</si>
  <si>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</si>
  <si>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</si>
  <si>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</si>
  <si>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</si>
  <si>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</si>
  <si>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</si>
  <si>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</si>
  <si>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</si>
  <si>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</si>
  <si>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</si>
  <si>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</si>
  <si>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</si>
  <si>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</si>
  <si>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</si>
  <si>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</si>
  <si>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</si>
  <si>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</si>
  <si>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</si>
  <si>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</si>
  <si>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</si>
  <si>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</si>
  <si>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</si>
  <si>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</si>
  <si>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</si>
  <si>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</si>
  <si>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</si>
  <si>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</si>
  <si>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</si>
  <si>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</si>
  <si>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</si>
  <si>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</si>
  <si>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</si>
  <si>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</si>
  <si>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</si>
  <si>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</si>
  <si>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</si>
  <si>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</si>
  <si>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</si>
  <si>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</si>
  <si>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</si>
  <si>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</si>
  <si>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</si>
  <si>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</si>
  <si>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</si>
  <si>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</si>
  <si>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</si>
  <si>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</si>
  <si>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</si>
  <si>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</si>
  <si>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</si>
  <si>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</si>
  <si>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</si>
  <si>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</si>
  <si>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</si>
  <si>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</si>
  <si>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</si>
  <si>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</si>
  <si>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</si>
  <si>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</si>
  <si>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</si>
  <si>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</si>
  <si>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</si>
  <si>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</si>
  <si>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</si>
  <si>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</si>
  <si>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</si>
  <si>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</si>
  <si>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</si>
  <si>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</si>
  <si>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</si>
  <si>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</si>
  <si>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</si>
  <si>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</si>
  <si>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</si>
  <si>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</si>
  <si>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</si>
  <si>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</si>
  <si>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</si>
  <si>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</si>
  <si>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</si>
  <si>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</si>
  <si>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</si>
  <si>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</si>
  <si>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</si>
  <si>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</si>
  <si>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</si>
  <si>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</si>
  <si>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</si>
  <si>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</si>
  <si>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</si>
  <si>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</si>
  <si>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</si>
  <si>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</si>
  <si>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</si>
  <si>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</si>
  <si>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</si>
  <si>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</si>
  <si>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</si>
  <si>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</si>
  <si>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</si>
  <si>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</si>
  <si>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</si>
  <si>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</si>
  <si>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</si>
  <si>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</si>
  <si>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</si>
  <si>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</si>
  <si>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</si>
  <si>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</si>
  <si>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</si>
  <si>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</si>
  <si>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</si>
  <si>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</si>
  <si>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</si>
  <si>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</si>
  <si>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</si>
  <si>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</si>
  <si>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</si>
  <si>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</si>
  <si>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</si>
  <si>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</si>
  <si>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</si>
  <si>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</si>
  <si>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</si>
  <si>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</si>
  <si>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</si>
  <si>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</si>
  <si>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</si>
  <si>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</si>
  <si>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</si>
  <si>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</si>
  <si>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</si>
  <si>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</si>
  <si>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</si>
  <si>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</si>
  <si>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</si>
  <si>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</si>
  <si>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</si>
  <si>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</si>
  <si>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</si>
  <si>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</si>
  <si>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</si>
  <si>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</si>
  <si>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</si>
  <si>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</si>
  <si>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</si>
  <si>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</si>
  <si>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</si>
  <si>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</si>
  <si>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</si>
  <si>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</si>
  <si>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</si>
  <si>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</si>
  <si>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</si>
  <si>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</si>
  <si>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</si>
  <si>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</si>
  <si>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</si>
  <si>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</si>
  <si>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</si>
  <si>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</si>
  <si>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</si>
  <si>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</si>
  <si>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</si>
  <si>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</si>
  <si>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</si>
  <si>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</si>
  <si>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</si>
  <si>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</si>
  <si>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</si>
  <si>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</si>
  <si>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</si>
  <si>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</si>
  <si>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</si>
  <si>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</si>
  <si>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</si>
  <si>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</si>
  <si>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</si>
  <si>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</si>
  <si>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</si>
  <si>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</si>
  <si>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</si>
  <si>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</si>
  <si>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</si>
  <si>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</si>
  <si>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</si>
  <si>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</si>
  <si>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</si>
  <si>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</si>
  <si>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</si>
  <si>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</si>
  <si>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</si>
  <si>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</si>
  <si>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</si>
  <si>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</si>
  <si>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</si>
  <si>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</si>
  <si>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</si>
  <si>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</si>
  <si>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</si>
  <si>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</si>
  <si>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</si>
  <si>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</si>
  <si>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</si>
  <si>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</si>
  <si>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</si>
  <si>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</si>
  <si>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</si>
  <si>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</si>
  <si>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</si>
  <si>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</si>
  <si>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</si>
  <si>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</si>
  <si>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</si>
  <si>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</si>
  <si>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</si>
  <si>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</si>
  <si>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</si>
  <si>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</si>
  <si>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</si>
  <si>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</si>
  <si>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</si>
  <si>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</si>
  <si>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</si>
  <si>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</si>
  <si>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</si>
  <si>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</si>
  <si>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</si>
  <si>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</si>
  <si>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</si>
  <si>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</si>
  <si>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</si>
  <si>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</si>
  <si>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</si>
  <si>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</si>
  <si>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</si>
  <si>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</si>
  <si>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</si>
  <si>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</si>
  <si>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</si>
  <si>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</si>
  <si>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</si>
  <si>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</si>
  <si>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</si>
  <si>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</si>
  <si>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</si>
  <si>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</si>
  <si>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</si>
  <si>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</si>
  <si>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</si>
  <si>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</si>
  <si>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</si>
  <si>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</si>
  <si>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</si>
  <si>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</si>
  <si>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</si>
  <si>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</si>
  <si>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</si>
  <si>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</si>
  <si>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</si>
  <si>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</si>
  <si>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</si>
  <si>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</si>
  <si>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</si>
  <si>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</si>
  <si>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</si>
  <si>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</si>
  <si>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</si>
  <si>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</si>
  <si>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</si>
  <si>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</si>
  <si>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</si>
  <si>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</si>
  <si>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</si>
  <si>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</si>
  <si>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</si>
  <si>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</si>
  <si>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</si>
  <si>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</si>
  <si>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</si>
  <si>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</si>
  <si>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</si>
  <si>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</si>
  <si>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</si>
  <si>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</si>
  <si>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</si>
  <si>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</si>
  <si>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</si>
  <si>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</si>
  <si>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</si>
  <si>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</si>
  <si>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</si>
  <si>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</si>
  <si>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</si>
  <si>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</si>
  <si>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</si>
  <si>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</si>
  <si>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</si>
  <si>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</si>
  <si>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</si>
  <si>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</si>
  <si>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</si>
  <si>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</si>
  <si>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</si>
  <si>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</si>
  <si>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</si>
  <si>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</si>
  <si>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</si>
  <si>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</si>
  <si>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</si>
  <si>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</si>
  <si>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</si>
  <si>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</si>
  <si>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</si>
  <si>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</si>
  <si>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</si>
  <si>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</si>
  <si>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</si>
  <si>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</si>
  <si>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</si>
  <si>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</si>
  <si>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</si>
  <si>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</si>
  <si>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</si>
  <si>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</si>
  <si>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</si>
  <si>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</si>
  <si>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</si>
  <si>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</si>
  <si>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</si>
  <si>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</si>
  <si>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</si>
  <si>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</si>
  <si>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</si>
  <si>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</si>
  <si>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</si>
  <si>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</si>
  <si>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</si>
  <si>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</si>
  <si>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</si>
  <si>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</si>
  <si>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</si>
  <si>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</si>
  <si>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</si>
  <si>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</si>
  <si>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</si>
  <si>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</si>
  <si>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</si>
  <si>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</si>
  <si>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</si>
  <si>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</si>
  <si>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</si>
  <si>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</si>
  <si>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</si>
  <si>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</si>
  <si>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</si>
  <si>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</si>
  <si>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</si>
  <si>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</si>
  <si>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</si>
  <si>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</si>
  <si>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</si>
  <si>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</si>
  <si>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</si>
  <si>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</si>
  <si>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</si>
  <si>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</si>
  <si>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</si>
  <si>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</si>
  <si>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</si>
  <si>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</si>
  <si>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</si>
  <si>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</si>
  <si>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</si>
  <si>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</si>
  <si>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</si>
  <si>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</si>
  <si>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</si>
  <si>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</si>
  <si>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</si>
  <si>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</si>
  <si>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</si>
  <si>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</si>
  <si>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</si>
  <si>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</si>
  <si>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</si>
  <si>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</si>
  <si>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</si>
  <si>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</si>
  <si>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</si>
  <si>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</si>
  <si>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</si>
  <si>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</si>
  <si>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</si>
  <si>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</si>
  <si>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</si>
  <si>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</si>
  <si>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</si>
  <si>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</si>
  <si>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</si>
  <si>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</si>
  <si>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</si>
  <si>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</si>
  <si>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</si>
  <si>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</si>
  <si>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</si>
  <si>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</si>
  <si>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</si>
  <si>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</si>
  <si>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</si>
  <si>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</si>
  <si>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</si>
  <si>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</si>
  <si>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</si>
  <si>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</si>
  <si>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</si>
  <si>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</si>
  <si>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</si>
  <si>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</si>
  <si>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</si>
  <si>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</si>
  <si>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</si>
  <si>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</si>
  <si>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</si>
  <si>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</si>
  <si>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</si>
  <si>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</si>
  <si>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</si>
  <si>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</si>
  <si>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</si>
  <si>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</si>
  <si>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</si>
  <si>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</si>
  <si>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</si>
  <si>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</si>
  <si>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</si>
  <si>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</si>
  <si>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</si>
  <si>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</si>
  <si>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</si>
  <si>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</si>
  <si>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</si>
  <si>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</si>
  <si>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</si>
  <si>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</si>
  <si>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</si>
  <si>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</si>
  <si>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</si>
  <si>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</si>
  <si>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</si>
  <si>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</si>
  <si>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</si>
  <si>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</si>
  <si>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</si>
  <si>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</si>
  <si>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</si>
  <si>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</si>
  <si>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</si>
  <si>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</si>
  <si>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</si>
  <si>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</si>
  <si>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</si>
  <si>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</si>
  <si>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</si>
  <si>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</si>
  <si>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</si>
  <si>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</si>
  <si>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</si>
  <si>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</si>
  <si>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</si>
  <si>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</si>
  <si>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</si>
  <si>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</si>
  <si>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</si>
  <si>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</si>
  <si>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</si>
  <si>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</si>
  <si>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</si>
  <si>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</si>
  <si>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</si>
  <si>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</si>
  <si>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</si>
  <si>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</si>
  <si>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</si>
  <si>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</si>
  <si>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</si>
  <si>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</si>
  <si>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</si>
  <si>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</si>
  <si>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</si>
  <si>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</si>
  <si>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</si>
  <si>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</si>
  <si>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</si>
  <si>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</si>
  <si>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</si>
  <si>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</si>
  <si>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</si>
  <si>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</si>
  <si>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</si>
  <si>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</si>
  <si>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</si>
  <si>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</si>
  <si>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</si>
  <si>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</si>
  <si>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</si>
  <si>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</si>
  <si>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</si>
  <si>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</si>
  <si>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</si>
  <si>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</si>
  <si>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</si>
  <si>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</si>
  <si>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</si>
  <si>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</si>
  <si>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</si>
  <si>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</si>
  <si>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</si>
  <si>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</si>
  <si>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</si>
  <si>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</si>
  <si>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</si>
  <si>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</si>
  <si>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</si>
  <si>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</si>
  <si>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</si>
  <si>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</si>
  <si>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</si>
  <si>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</si>
  <si>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</si>
  <si>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</si>
  <si>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</si>
  <si>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</si>
  <si>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</si>
  <si>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</si>
  <si>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</si>
  <si>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</si>
  <si>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</si>
  <si>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</si>
  <si>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</si>
  <si>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</si>
  <si>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</si>
  <si>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</si>
  <si>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</si>
  <si>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</si>
  <si>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</si>
  <si>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</si>
  <si>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</si>
  <si>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</si>
  <si>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</si>
  <si>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</si>
  <si>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</si>
  <si>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</si>
  <si>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</si>
  <si>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</si>
  <si>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</si>
  <si>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</si>
  <si>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</si>
  <si>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</si>
  <si>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</si>
  <si>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</si>
  <si>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</si>
  <si>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</si>
  <si>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</si>
  <si>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</si>
  <si>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</si>
  <si>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</si>
  <si>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</si>
  <si>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</si>
  <si>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</si>
  <si>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</si>
  <si>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</si>
  <si>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</si>
  <si>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</si>
  <si>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</si>
  <si>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</si>
  <si>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</si>
  <si>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</si>
  <si>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</si>
  <si>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</si>
  <si>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</si>
  <si>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</si>
  <si>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</si>
  <si>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</si>
  <si>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</si>
  <si>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</si>
  <si>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</si>
  <si>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</si>
  <si>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</si>
  <si>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</si>
  <si>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</si>
  <si>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</si>
  <si>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</si>
  <si>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</si>
  <si>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</si>
  <si>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</si>
  <si>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</si>
  <si>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</si>
  <si>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</si>
  <si>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</si>
  <si>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</si>
  <si>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</si>
  <si>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</si>
  <si>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</si>
  <si>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</si>
  <si>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</si>
  <si>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</si>
  <si>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</si>
  <si>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</si>
  <si>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</si>
  <si>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</si>
  <si>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</si>
  <si>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</si>
  <si>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</si>
  <si>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</si>
  <si>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</si>
  <si>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</si>
  <si>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</si>
  <si>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</si>
  <si>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</si>
  <si>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</si>
  <si>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</si>
  <si>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</si>
  <si>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</si>
  <si>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</si>
  <si>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</si>
  <si>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</si>
  <si>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</si>
  <si>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</si>
  <si>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</si>
  <si>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</si>
  <si>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</si>
  <si>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</si>
  <si>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</si>
  <si>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</si>
  <si>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</si>
  <si>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</si>
  <si>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</si>
  <si>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</si>
  <si>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</si>
  <si>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</si>
  <si>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</si>
  <si>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</si>
  <si>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</si>
  <si>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</si>
  <si>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</si>
  <si>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</si>
  <si>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</si>
  <si>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</si>
  <si>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</si>
  <si>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</si>
  <si>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</si>
  <si>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</si>
  <si>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</si>
  <si>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</si>
  <si>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</si>
  <si>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</si>
  <si>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</si>
  <si>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</si>
  <si>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</si>
  <si>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</si>
  <si>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</si>
  <si>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</si>
  <si>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</si>
  <si>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</si>
  <si>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</si>
  <si>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</si>
  <si>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</si>
  <si>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</si>
  <si>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</si>
  <si>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</si>
  <si>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</si>
  <si>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</si>
  <si>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</si>
  <si>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</si>
  <si>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</si>
  <si>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</si>
  <si>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</si>
  <si>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</si>
  <si>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</si>
  <si>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</si>
  <si>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</si>
  <si>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</si>
  <si>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</si>
  <si>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</si>
  <si>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</si>
  <si>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</si>
  <si>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</si>
  <si>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</si>
  <si>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</si>
  <si>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</si>
  <si>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</si>
  <si>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</si>
  <si>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</si>
  <si>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</si>
  <si>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</si>
  <si>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</si>
  <si>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</si>
  <si>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</si>
  <si>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</si>
  <si>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</si>
  <si>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</si>
  <si>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</si>
  <si>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</si>
  <si>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</si>
  <si>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</si>
  <si>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</si>
  <si>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</si>
  <si>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</si>
  <si>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</si>
  <si>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</si>
  <si>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</si>
  <si>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</si>
  <si>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</si>
  <si>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</si>
  <si>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</si>
  <si>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</si>
  <si>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</si>
  <si>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</si>
  <si>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</si>
  <si>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</si>
  <si>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</si>
  <si>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</si>
  <si>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</si>
  <si>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</si>
  <si>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</si>
  <si>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</si>
  <si>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</si>
  <si>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</si>
  <si>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</si>
  <si>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</si>
  <si>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</si>
  <si>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</si>
  <si>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</si>
  <si>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</si>
  <si>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</si>
  <si>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</si>
  <si>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</si>
  <si>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</si>
  <si>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</si>
  <si>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</si>
  <si>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</si>
  <si>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</si>
  <si>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</si>
  <si>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</si>
  <si>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</si>
  <si>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</si>
  <si>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</si>
  <si>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</si>
  <si>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</si>
  <si>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</si>
  <si>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</si>
  <si>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</si>
  <si>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</si>
  <si>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</si>
  <si>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</si>
  <si>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</si>
  <si>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</si>
  <si>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</si>
  <si>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</si>
  <si>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</si>
  <si>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</si>
  <si>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</si>
  <si>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</si>
  <si>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</si>
  <si>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</si>
  <si>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</si>
  <si>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</si>
  <si>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</si>
  <si>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</si>
  <si>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</si>
  <si>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</si>
  <si>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</si>
  <si>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</si>
  <si>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</si>
  <si>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</si>
  <si>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</si>
  <si>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</si>
  <si>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</si>
  <si>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</si>
  <si>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</si>
  <si>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</si>
  <si>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</si>
  <si>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</si>
  <si>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</si>
  <si>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</si>
  <si>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</si>
  <si>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</si>
  <si>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</si>
  <si>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</si>
  <si>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</si>
  <si>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</si>
  <si>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</si>
  <si>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</si>
  <si>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</si>
  <si>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</si>
  <si>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</si>
  <si>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</si>
  <si>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</si>
  <si>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</si>
  <si>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</si>
  <si>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</si>
  <si>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</si>
  <si>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</si>
  <si>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</si>
  <si>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</si>
  <si>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</si>
  <si>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</si>
  <si>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</si>
  <si>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</si>
  <si>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</si>
  <si>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</si>
  <si>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</si>
  <si>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</si>
  <si>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</si>
  <si>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</si>
  <si>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</si>
  <si>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</si>
  <si>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</si>
  <si>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</si>
  <si>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</si>
  <si>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</si>
  <si>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</si>
  <si>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</si>
  <si>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</si>
  <si>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</si>
  <si>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</si>
  <si>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</si>
  <si>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</si>
  <si>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</si>
  <si>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</si>
  <si>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</si>
  <si>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</si>
  <si>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</si>
  <si>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</si>
  <si>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</si>
  <si>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</si>
  <si>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</si>
  <si>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</si>
  <si>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</si>
  <si>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</si>
  <si>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</si>
  <si>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</si>
  <si>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</si>
  <si>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</si>
  <si>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</si>
  <si>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</si>
  <si>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</si>
  <si>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</si>
  <si>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</si>
  <si>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</si>
  <si>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</si>
  <si>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</si>
  <si>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</si>
  <si>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</si>
  <si>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</si>
  <si>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</si>
  <si>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</si>
  <si>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</si>
  <si>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</si>
  <si>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</si>
  <si>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</si>
  <si>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</si>
  <si>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</si>
  <si>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</si>
  <si>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</si>
  <si>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</si>
  <si>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</si>
  <si>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</si>
  <si>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</si>
  <si>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</si>
  <si>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</si>
  <si>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</si>
  <si>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</si>
  <si>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</si>
  <si>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</si>
  <si>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</si>
  <si>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</si>
  <si>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</si>
  <si>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</si>
  <si>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</si>
  <si>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</si>
  <si>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</si>
  <si>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</si>
  <si>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</si>
  <si>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</si>
  <si>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</si>
  <si>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</si>
  <si>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</si>
  <si>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</si>
  <si>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</si>
  <si>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</si>
  <si>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</si>
  <si>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</si>
  <si>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</si>
  <si>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</si>
  <si>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</si>
  <si>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</si>
  <si>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</si>
  <si>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</si>
  <si>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</si>
  <si>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</si>
  <si>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</si>
  <si>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</si>
  <si>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</si>
  <si>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</si>
  <si>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</si>
  <si>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</si>
  <si>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</si>
  <si>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</si>
  <si>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</si>
  <si>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</si>
  <si>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</si>
  <si>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</si>
  <si>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</si>
  <si>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</si>
  <si>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</si>
  <si>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</si>
  <si>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</si>
  <si>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</si>
  <si>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</si>
  <si>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</si>
  <si>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</si>
  <si>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</si>
  <si>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</si>
  <si>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</si>
  <si>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</si>
  <si>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</si>
  <si>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</si>
  <si>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</si>
  <si>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</si>
  <si>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</si>
  <si>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</si>
  <si>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</si>
  <si>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</si>
  <si>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</si>
  <si>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</si>
  <si>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</si>
  <si>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</si>
  <si>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</si>
  <si>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</si>
  <si>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</si>
  <si>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</si>
  <si>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</si>
  <si>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</si>
  <si>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</si>
  <si>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</si>
  <si>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</si>
  <si>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</si>
  <si>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</si>
  <si>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</si>
  <si>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</si>
  <si>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</si>
  <si>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</si>
  <si>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</si>
  <si>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</si>
  <si>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</si>
  <si>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</si>
  <si>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</si>
  <si>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</si>
  <si>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</si>
  <si>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</si>
  <si>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</si>
  <si>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</si>
  <si>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</si>
  <si>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</si>
  <si>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</si>
  <si>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</si>
  <si>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</si>
  <si>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</si>
  <si>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</si>
  <si>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</si>
  <si>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</si>
  <si>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</si>
  <si>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</si>
  <si>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</si>
  <si>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</si>
  <si>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</si>
  <si>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</si>
  <si>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</si>
  <si>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</si>
  <si>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</si>
  <si>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</si>
  <si>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</si>
  <si>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</si>
  <si>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</si>
  <si>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</si>
  <si>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</si>
  <si>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</si>
  <si>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</si>
  <si>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</si>
  <si>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</si>
  <si>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</si>
  <si>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</si>
  <si>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</si>
  <si>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</si>
  <si>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</si>
  <si>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</si>
  <si>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</si>
  <si>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</si>
  <si>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</si>
  <si>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</si>
  <si>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</si>
  <si>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</si>
  <si>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</si>
  <si>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</si>
  <si>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</si>
  <si>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</si>
  <si>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</si>
  <si>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</si>
  <si>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</si>
  <si>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</si>
  <si>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</si>
  <si>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</si>
  <si>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</si>
  <si>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</si>
  <si>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</si>
  <si>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</si>
  <si>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</si>
  <si>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</si>
  <si>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</si>
  <si>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</si>
  <si>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</si>
  <si>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</si>
  <si>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</si>
  <si>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</si>
  <si>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</si>
  <si>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</si>
  <si>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</si>
  <si>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</si>
  <si>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</si>
  <si>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</si>
  <si>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</si>
  <si>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</si>
  <si>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</si>
  <si>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</si>
  <si>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</si>
  <si>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</si>
  <si>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</si>
  <si>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</si>
  <si>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</si>
  <si>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</si>
  <si>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</si>
  <si>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</si>
  <si>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</si>
  <si>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</si>
  <si>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</si>
  <si>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</si>
  <si>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</si>
  <si>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</si>
  <si>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</si>
  <si>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</si>
  <si>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</si>
  <si>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</si>
  <si>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</si>
  <si>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</si>
  <si>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</si>
  <si>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</si>
  <si>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</si>
  <si>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</si>
  <si>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</si>
  <si>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</si>
  <si>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</si>
  <si>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</si>
  <si>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</si>
  <si>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</si>
  <si>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</si>
  <si>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</si>
  <si>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</si>
  <si>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</si>
  <si>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</si>
  <si>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</si>
  <si>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</si>
  <si>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</si>
  <si>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</si>
  <si>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</si>
  <si>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</si>
  <si>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</si>
  <si>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</si>
  <si>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</si>
  <si>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</si>
  <si>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</si>
  <si>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</si>
  <si>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</si>
  <si>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</si>
  <si>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</si>
  <si>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</si>
  <si>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</si>
  <si>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</si>
  <si>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</si>
  <si>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</si>
  <si>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</si>
  <si>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</si>
  <si>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</si>
  <si>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</si>
  <si>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</si>
  <si>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</si>
  <si>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</si>
  <si>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</si>
  <si>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</si>
  <si>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</si>
  <si>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</si>
  <si>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</si>
  <si>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</si>
  <si>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</si>
  <si>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</si>
  <si>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</si>
  <si>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</si>
  <si>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</si>
  <si>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</si>
  <si>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</si>
  <si>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</si>
  <si>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</si>
  <si>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</si>
  <si>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</si>
  <si>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</si>
  <si>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</si>
  <si>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</si>
  <si>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</si>
  <si>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</si>
  <si>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</si>
  <si>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</si>
  <si>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</si>
  <si>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</si>
  <si>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</si>
  <si>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</si>
  <si>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</si>
  <si>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</si>
  <si>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</si>
  <si>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</si>
  <si>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</si>
  <si>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</si>
  <si>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</si>
  <si>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</si>
  <si>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</si>
  <si>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</si>
  <si>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</si>
  <si>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</si>
  <si>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</si>
  <si>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</si>
  <si>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</si>
  <si>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</si>
  <si>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</si>
  <si>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</si>
  <si>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</si>
  <si>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</si>
  <si>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</si>
  <si>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</si>
  <si>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</si>
  <si>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</si>
  <si>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</si>
  <si>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</si>
  <si>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</si>
  <si>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</si>
  <si>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</si>
  <si>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</si>
  <si>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</si>
  <si>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</si>
  <si>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</si>
  <si>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</si>
  <si>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</si>
  <si>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</si>
  <si>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</si>
  <si>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</si>
  <si>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</si>
  <si>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</si>
  <si>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</si>
  <si>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</si>
  <si>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</si>
  <si>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</si>
  <si>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</si>
  <si>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</si>
  <si>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</si>
  <si>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</si>
  <si>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</si>
  <si>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</si>
  <si>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</si>
  <si>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</si>
  <si>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</si>
  <si>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</si>
  <si>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</si>
  <si>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</si>
  <si>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</si>
  <si>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</si>
  <si>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</si>
  <si>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</si>
  <si>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</si>
  <si>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</si>
  <si>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</si>
  <si>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</si>
  <si>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</si>
  <si>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</si>
  <si>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</si>
  <si>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</si>
  <si>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</si>
  <si>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</si>
  <si>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</si>
  <si>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</si>
  <si>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</si>
  <si>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</si>
  <si>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</si>
  <si>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</si>
  <si>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</si>
  <si>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</si>
  <si>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</si>
  <si>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</si>
  <si>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</si>
  <si>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</si>
  <si>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</si>
  <si>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</si>
  <si>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</si>
  <si>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</si>
  <si>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</si>
  <si>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</si>
  <si>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</si>
  <si>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</si>
  <si>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</si>
  <si>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</si>
  <si>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</si>
  <si>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</si>
  <si>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</si>
  <si>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</si>
  <si>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</si>
  <si>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</si>
  <si>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</si>
  <si>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</si>
  <si>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</si>
  <si>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</si>
  <si>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</si>
  <si>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</si>
  <si>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</si>
  <si>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</si>
  <si>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</si>
  <si>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</si>
  <si>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</si>
  <si>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</si>
  <si>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</si>
  <si>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</si>
  <si>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</si>
  <si>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</si>
  <si>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</si>
  <si>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</si>
  <si>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</si>
  <si>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</si>
  <si>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</si>
  <si>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</si>
  <si>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</si>
  <si>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</si>
  <si>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</si>
  <si>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</si>
  <si>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</si>
  <si>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</si>
  <si>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</si>
  <si>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</si>
  <si>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</si>
  <si>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</si>
  <si>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</si>
  <si>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</si>
  <si>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</si>
  <si>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</si>
  <si>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</si>
  <si>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</si>
  <si>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</si>
  <si>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</si>
  <si>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</si>
  <si>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</si>
  <si>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</si>
  <si>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</si>
  <si>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</si>
  <si>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</si>
  <si>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</si>
  <si>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</si>
  <si>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</si>
  <si>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</si>
  <si>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</si>
  <si>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</si>
  <si>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</si>
  <si>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</si>
  <si>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</si>
  <si>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</si>
  <si>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</si>
  <si>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</si>
  <si>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</si>
  <si>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</si>
  <si>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</si>
  <si>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</si>
  <si>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</si>
  <si>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</si>
  <si>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</si>
  <si>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</si>
  <si>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</si>
  <si>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</si>
  <si>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</si>
  <si>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</si>
  <si>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</si>
  <si>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</si>
  <si>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</si>
  <si>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</si>
  <si>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</si>
  <si>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</si>
  <si>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</si>
  <si>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</si>
  <si>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</si>
  <si>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</si>
  <si>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</si>
  <si>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</si>
  <si>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</si>
  <si>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</si>
  <si>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</si>
  <si>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</si>
  <si>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</si>
  <si>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</si>
  <si>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</si>
  <si>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</si>
  <si>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</si>
  <si>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</si>
  <si>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</si>
  <si>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</si>
  <si>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</si>
  <si>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</si>
  <si>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</si>
  <si>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</si>
  <si>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</si>
  <si>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</si>
  <si>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</si>
  <si>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</si>
  <si>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</si>
  <si>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</si>
  <si>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</si>
  <si>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</si>
  <si>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</si>
  <si>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</si>
  <si>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</si>
  <si>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</si>
  <si>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</si>
  <si>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</si>
  <si>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</si>
  <si>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</si>
  <si>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</si>
  <si>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</si>
  <si>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</si>
  <si>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</si>
  <si>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</si>
  <si>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</si>
  <si>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</si>
  <si>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</si>
  <si>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</si>
  <si>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</si>
  <si>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</si>
  <si>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</si>
  <si>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</si>
  <si>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</si>
  <si>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</si>
  <si>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</si>
  <si>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</si>
  <si>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</si>
  <si>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</si>
  <si>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</si>
  <si>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</si>
  <si>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</si>
  <si>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</si>
  <si>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</si>
  <si>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</si>
  <si>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</si>
  <si>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</si>
  <si>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</si>
  <si>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</si>
  <si>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</si>
  <si>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</si>
  <si>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</si>
  <si>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</si>
  <si>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</si>
  <si>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</si>
  <si>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</si>
  <si>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</si>
  <si>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</si>
  <si>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</si>
  <si>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</si>
  <si>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</si>
  <si>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</si>
  <si>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</si>
  <si>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</si>
  <si>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</si>
  <si>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</si>
  <si>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</si>
  <si>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</si>
  <si>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</si>
  <si>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</si>
  <si>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</si>
  <si>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</si>
  <si>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</si>
  <si>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</si>
  <si>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</si>
  <si>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</si>
  <si>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</si>
  <si>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</si>
  <si>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</si>
  <si>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</si>
  <si>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</si>
  <si>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</si>
  <si>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</si>
  <si>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</si>
  <si>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</si>
  <si>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</si>
  <si>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</si>
  <si>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</si>
  <si>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</si>
  <si>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</si>
  <si>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</si>
  <si>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</si>
  <si>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</si>
  <si>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</si>
  <si>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</si>
  <si>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</si>
  <si>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</si>
  <si>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</si>
  <si>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</si>
  <si>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</si>
  <si>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</si>
  <si>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</si>
  <si>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</si>
  <si>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</si>
  <si>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</si>
  <si>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</si>
  <si>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</si>
  <si>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</si>
  <si>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</si>
  <si>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</si>
  <si>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</si>
  <si>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</si>
  <si>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</si>
  <si>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</si>
  <si>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</si>
  <si>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</si>
  <si>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</si>
  <si>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</si>
  <si>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</si>
  <si>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</si>
  <si>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</si>
  <si>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</si>
  <si>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</si>
  <si>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</si>
  <si>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</si>
  <si>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</si>
  <si>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</si>
  <si>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</si>
  <si>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</si>
  <si>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</si>
  <si>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</si>
  <si>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</si>
  <si>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</si>
  <si>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</si>
  <si>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</si>
  <si>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</si>
  <si>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</si>
  <si>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</si>
  <si>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</si>
  <si>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</si>
  <si>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</si>
  <si>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</si>
  <si>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</si>
  <si>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</si>
  <si>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</si>
  <si>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</si>
  <si>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</si>
  <si>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</si>
  <si>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</si>
  <si>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</si>
  <si>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</si>
  <si>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</si>
  <si>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</si>
  <si>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</si>
  <si>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</si>
  <si>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</si>
  <si>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</si>
  <si>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</si>
  <si>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</si>
  <si>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</si>
  <si>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</si>
  <si>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</si>
  <si>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</si>
  <si>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</si>
  <si>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</si>
  <si>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</si>
  <si>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</si>
  <si>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</si>
  <si>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</si>
  <si>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</si>
  <si>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</si>
  <si>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</si>
  <si>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</si>
  <si>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</si>
  <si>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</si>
  <si>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</si>
  <si>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</si>
  <si>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</si>
  <si>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</si>
  <si>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</si>
  <si>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</si>
  <si>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</si>
  <si>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</si>
  <si>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</si>
  <si>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</si>
  <si>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</si>
  <si>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</si>
  <si>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</si>
  <si>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</si>
  <si>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</si>
  <si>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</si>
  <si>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</si>
  <si>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</si>
  <si>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</si>
  <si>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</si>
  <si>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</si>
  <si>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</si>
  <si>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</si>
  <si>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</si>
  <si>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</si>
  <si>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</si>
  <si>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</si>
  <si>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</si>
  <si>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</si>
  <si>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</si>
  <si>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</si>
  <si>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</si>
  <si>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</si>
  <si>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</si>
  <si>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</si>
  <si>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</si>
  <si>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</si>
  <si>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</si>
  <si>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</si>
  <si>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</si>
  <si>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</si>
  <si>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</si>
  <si>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</si>
  <si>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</si>
  <si>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</si>
  <si>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</si>
  <si>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</si>
  <si>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</si>
  <si>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</si>
  <si>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</si>
  <si>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</si>
  <si>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</si>
  <si>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</si>
  <si>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</si>
  <si>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</si>
  <si>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</si>
  <si>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</si>
  <si>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</si>
  <si>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</si>
  <si>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</si>
  <si>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</si>
  <si>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</si>
  <si>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</si>
  <si>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</si>
  <si>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</si>
  <si>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</si>
  <si>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</si>
  <si>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</si>
  <si>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</si>
  <si>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</si>
  <si>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</si>
  <si>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</si>
  <si>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</si>
  <si>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</si>
  <si>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</si>
  <si>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</si>
  <si>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</si>
  <si>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</si>
  <si>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</si>
  <si>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</si>
  <si>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</si>
  <si>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</si>
  <si>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</si>
  <si>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</si>
  <si>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</si>
  <si>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</si>
  <si>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</si>
  <si>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</si>
  <si>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</si>
  <si>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</si>
  <si>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</si>
  <si>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</si>
  <si>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</si>
  <si>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</si>
  <si>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</si>
  <si>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</si>
  <si>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</si>
  <si>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</si>
  <si>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</si>
  <si>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</si>
  <si>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</si>
  <si>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</si>
  <si>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</si>
  <si>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</si>
  <si>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</si>
  <si>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</si>
  <si>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</si>
  <si>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</si>
  <si>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</si>
  <si>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</si>
  <si>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</si>
  <si>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</si>
  <si>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</si>
  <si>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</si>
  <si>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</si>
  <si>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</si>
  <si>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</si>
  <si>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</si>
  <si>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</si>
  <si>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</si>
  <si>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</si>
  <si>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</si>
  <si>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</si>
  <si>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</si>
  <si>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</si>
  <si>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</si>
  <si>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</si>
  <si>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</si>
  <si>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</si>
  <si>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</si>
  <si>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</si>
  <si>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</si>
  <si>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</si>
  <si>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</si>
  <si>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</si>
  <si>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</si>
  <si>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</si>
  <si>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</si>
  <si>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</si>
  <si>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</si>
  <si>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</si>
  <si>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</si>
  <si>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</si>
  <si>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</si>
  <si>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</si>
  <si>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</si>
  <si>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</si>
  <si>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</si>
  <si>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</si>
  <si>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</si>
  <si>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</si>
  <si>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</si>
  <si>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</si>
  <si>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</si>
  <si>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</si>
  <si>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</si>
  <si>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</si>
  <si>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</si>
  <si>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</si>
  <si>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</si>
  <si>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</si>
  <si>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</si>
  <si>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</si>
  <si>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</si>
  <si>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</si>
  <si>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</si>
  <si>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</si>
  <si>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</si>
  <si>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</si>
  <si>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</si>
  <si>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</si>
  <si>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</si>
  <si>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</si>
  <si>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</si>
  <si>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</si>
  <si>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</si>
  <si>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</si>
  <si>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</si>
  <si>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</si>
  <si>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</si>
  <si>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</si>
  <si>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</si>
  <si>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</si>
  <si>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</si>
  <si>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</si>
  <si>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</si>
  <si>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</si>
  <si>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</si>
  <si>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</si>
  <si>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</si>
  <si>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</si>
  <si>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</si>
  <si>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</si>
  <si>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</si>
  <si>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</si>
  <si>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</si>
  <si>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</si>
  <si>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</si>
  <si>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</si>
  <si>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</si>
  <si>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</si>
  <si>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</si>
  <si>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</si>
  <si>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</si>
  <si>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</si>
  <si>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</si>
  <si>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</si>
  <si>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</si>
  <si>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</si>
  <si>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</si>
  <si>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</si>
  <si>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</si>
  <si>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</si>
  <si>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</si>
  <si>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</si>
  <si>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</si>
  <si>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</si>
  <si>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</si>
  <si>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</si>
  <si>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</si>
  <si>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</si>
  <si>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</si>
  <si>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</si>
  <si>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</si>
  <si>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</si>
  <si>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</si>
  <si>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</si>
  <si>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</si>
  <si>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</si>
  <si>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</si>
  <si>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</si>
  <si>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</si>
  <si>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</si>
  <si>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</si>
  <si>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</si>
  <si>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</si>
  <si>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</si>
  <si>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</si>
  <si>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</si>
  <si>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</si>
  <si>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</si>
  <si>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</si>
  <si>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</si>
  <si>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</si>
  <si>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</si>
  <si>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</si>
  <si>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</si>
  <si>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</si>
  <si>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</si>
  <si>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</si>
  <si>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</si>
  <si>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</si>
  <si>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</si>
  <si>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</si>
  <si>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</si>
  <si>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</si>
  <si>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</si>
  <si>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</si>
  <si>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</si>
  <si>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</si>
  <si>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</si>
  <si>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</si>
  <si>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</si>
  <si>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</si>
  <si>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</si>
  <si>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</si>
  <si>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</si>
  <si>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</si>
  <si>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</si>
  <si>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</si>
  <si>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</si>
  <si>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</si>
  <si>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</si>
  <si>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</si>
  <si>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</si>
  <si>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</si>
  <si>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</si>
  <si>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</si>
  <si>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</si>
  <si>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</si>
  <si>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</si>
  <si>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</si>
  <si>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</si>
  <si>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</si>
  <si>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</si>
  <si>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</si>
  <si>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</si>
  <si>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</si>
  <si>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</si>
  <si>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</si>
  <si>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</si>
  <si>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</si>
  <si>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</si>
  <si>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</si>
  <si>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</si>
  <si>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</si>
  <si>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</si>
  <si>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</si>
  <si>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</si>
  <si>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</si>
  <si>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</si>
  <si>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</si>
  <si>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</si>
  <si>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</si>
  <si>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</si>
  <si>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</si>
  <si>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</si>
  <si>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</si>
  <si>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</si>
  <si>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</si>
  <si>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</si>
  <si>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</si>
  <si>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</si>
  <si>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</si>
  <si>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</si>
  <si>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</si>
  <si>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</si>
  <si>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</si>
  <si>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</si>
  <si>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</si>
  <si>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</si>
  <si>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</si>
  <si>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</si>
  <si>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</si>
  <si>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</si>
  <si>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</si>
  <si>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</si>
  <si>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</si>
  <si>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</si>
  <si>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</si>
  <si>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</si>
  <si>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</si>
  <si>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</si>
  <si>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</si>
  <si>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</si>
  <si>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</si>
  <si>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</si>
  <si>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</si>
  <si>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</si>
  <si>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</si>
  <si>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</si>
  <si>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</si>
  <si>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</si>
  <si>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</si>
  <si>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</si>
  <si>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</si>
  <si>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</si>
  <si>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</si>
  <si>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</si>
  <si>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</si>
  <si>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</si>
  <si>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</si>
  <si>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</si>
  <si>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</si>
  <si>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</si>
  <si>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</si>
  <si>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</si>
  <si>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</si>
  <si>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</si>
  <si>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</si>
  <si>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</si>
  <si>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</si>
  <si>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</si>
  <si>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</si>
  <si>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</si>
  <si>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</si>
  <si>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</si>
  <si>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</si>
  <si>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</si>
  <si>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</si>
  <si>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</si>
  <si>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</si>
  <si>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</si>
  <si>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</si>
  <si>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</si>
  <si>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</si>
  <si>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</si>
  <si>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</si>
  <si>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</si>
  <si>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</si>
  <si>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</si>
  <si>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</si>
  <si>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</si>
  <si>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</si>
  <si>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</si>
  <si>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</si>
  <si>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</si>
  <si>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</si>
  <si>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</si>
  <si>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</si>
  <si>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</si>
  <si>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</si>
  <si>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</si>
  <si>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</si>
  <si>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</si>
  <si>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</si>
  <si>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</si>
  <si>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</si>
  <si>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</si>
  <si>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</si>
  <si>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</si>
  <si>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</si>
  <si>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</si>
  <si>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</si>
  <si>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</si>
  <si>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</si>
  <si>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</si>
  <si>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</si>
  <si>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</si>
  <si>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</si>
  <si>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</si>
  <si>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</si>
  <si>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</si>
  <si>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</si>
  <si>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</si>
  <si>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</si>
  <si>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</si>
  <si>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</si>
  <si>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</si>
  <si>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</si>
  <si>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</si>
  <si>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</si>
  <si>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</si>
  <si>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</si>
  <si>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</si>
  <si>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</si>
  <si>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</si>
  <si>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</si>
  <si>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</si>
  <si>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</si>
  <si>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</si>
  <si>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</si>
  <si>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</si>
  <si>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</si>
  <si>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</si>
  <si>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</si>
  <si>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</si>
  <si>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</si>
  <si>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</si>
  <si>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</si>
  <si>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</si>
  <si>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</si>
  <si>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</si>
  <si>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</si>
  <si>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</si>
  <si>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</si>
  <si>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</si>
  <si>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</si>
  <si>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</si>
  <si>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</si>
  <si>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</si>
  <si>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</si>
  <si>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</si>
  <si>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</si>
  <si>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</si>
  <si>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</si>
  <si>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</si>
  <si>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</si>
  <si>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</si>
  <si>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</si>
  <si>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</si>
  <si>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</si>
  <si>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</si>
  <si>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</si>
  <si>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</si>
  <si>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</si>
  <si>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</si>
  <si>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</si>
  <si>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</si>
  <si>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</si>
  <si>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</si>
  <si>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</si>
  <si>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</si>
  <si>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</si>
  <si>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</si>
  <si>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</si>
  <si>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</si>
  <si>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</si>
  <si>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</si>
  <si>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</si>
  <si>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</si>
  <si>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</si>
  <si>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</si>
  <si>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</si>
  <si>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</si>
  <si>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</si>
  <si>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</si>
  <si>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</si>
  <si>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</si>
  <si>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</si>
  <si>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</si>
  <si>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</si>
  <si>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</si>
  <si>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</si>
  <si>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</si>
  <si>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</si>
  <si>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</si>
  <si>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</si>
  <si>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</si>
  <si>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</si>
  <si>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</si>
  <si>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</si>
  <si>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</si>
  <si>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</si>
  <si>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</si>
  <si>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</si>
  <si>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</si>
  <si>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</si>
  <si>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</si>
  <si>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</si>
  <si>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</si>
  <si>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</si>
  <si>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</si>
  <si>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</si>
  <si>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</si>
  <si>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</si>
  <si>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</si>
  <si>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</si>
  <si>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</si>
  <si>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</si>
  <si>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</si>
  <si>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</si>
  <si>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</si>
  <si>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</si>
  <si>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</si>
  <si>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</si>
  <si>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</si>
  <si>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</si>
  <si>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</si>
  <si>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</si>
  <si>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</si>
  <si>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</si>
  <si>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</si>
  <si>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</si>
  <si>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</si>
  <si>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</si>
  <si>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</si>
  <si>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</si>
  <si>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</si>
  <si>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</si>
  <si>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</si>
  <si>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</si>
  <si>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</si>
  <si>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</si>
  <si>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</si>
  <si>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</si>
  <si>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</si>
  <si>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</si>
  <si>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</si>
  <si>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</si>
  <si>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</si>
  <si>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</si>
  <si>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</si>
  <si>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</si>
  <si>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</si>
  <si>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</si>
  <si>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</si>
  <si>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</si>
  <si>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</si>
  <si>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</si>
  <si>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</si>
  <si>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</si>
  <si>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</si>
  <si>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</si>
  <si>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</si>
  <si>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</si>
  <si>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</si>
  <si>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</si>
  <si>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</si>
  <si>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</si>
  <si>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</si>
  <si>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</si>
  <si>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</si>
  <si>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</si>
  <si>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</si>
  <si>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</si>
  <si>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</si>
  <si>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</si>
  <si>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</si>
  <si>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</si>
  <si>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</si>
  <si>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</si>
  <si>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</si>
  <si>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</si>
  <si>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</si>
  <si>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</si>
  <si>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</si>
  <si>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</si>
  <si>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</si>
  <si>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</si>
  <si>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</si>
  <si>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</si>
  <si>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</si>
  <si>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</si>
  <si>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</si>
  <si>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</si>
  <si>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</si>
  <si>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</si>
  <si>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</si>
  <si>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</si>
  <si>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</si>
  <si>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</si>
  <si>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</si>
  <si>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</si>
  <si>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</si>
  <si>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</si>
  <si>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</si>
  <si>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</si>
  <si>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</si>
  <si>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</si>
  <si>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</si>
  <si>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</si>
  <si>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</si>
  <si>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</si>
  <si>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</si>
  <si>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</si>
  <si>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</si>
  <si>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</si>
  <si>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</si>
  <si>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</si>
  <si>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</si>
  <si>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</si>
  <si>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</si>
  <si>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</si>
  <si>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</si>
  <si>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</si>
  <si>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</si>
  <si>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</si>
  <si>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</si>
  <si>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</si>
  <si>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</si>
  <si>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</si>
  <si>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</si>
  <si>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</si>
  <si>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</si>
  <si>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</si>
  <si>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</si>
  <si>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</si>
  <si>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</si>
  <si>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</si>
  <si>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</si>
  <si>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</si>
  <si>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</si>
  <si>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</si>
  <si>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</si>
  <si>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</si>
  <si>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</si>
  <si>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</si>
  <si>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</si>
  <si>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</si>
  <si>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</si>
  <si>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</si>
  <si>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</si>
  <si>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</si>
  <si>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</si>
  <si>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</si>
  <si>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</si>
  <si>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</si>
  <si>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</si>
  <si>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</si>
  <si>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</si>
  <si>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</si>
  <si>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</si>
  <si>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</si>
  <si>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</si>
  <si>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</si>
  <si>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</si>
  <si>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</si>
  <si>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</si>
  <si>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</si>
  <si>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</si>
  <si>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</si>
  <si>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</si>
  <si>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</si>
  <si>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</si>
  <si>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</si>
  <si>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</si>
  <si>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</si>
  <si>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</si>
  <si>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</si>
  <si>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</si>
  <si>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</si>
  <si>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</si>
  <si>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</si>
  <si>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</si>
  <si>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</si>
  <si>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</si>
  <si>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</si>
  <si>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</si>
  <si>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</si>
  <si>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</si>
  <si>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</si>
  <si>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</si>
  <si>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</si>
  <si>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</si>
  <si>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</si>
  <si>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</si>
  <si>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</si>
  <si>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</si>
  <si>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</si>
  <si>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</si>
  <si>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</si>
  <si>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</si>
  <si>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</si>
  <si>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</si>
  <si>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</si>
  <si>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</si>
  <si>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</si>
  <si>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</si>
  <si>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</si>
  <si>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</si>
  <si>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</si>
  <si>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</si>
  <si>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</si>
  <si>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</si>
  <si>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</si>
  <si>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</si>
  <si>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</si>
  <si>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</si>
  <si>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</si>
  <si>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</si>
  <si>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</si>
  <si>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</si>
  <si>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</si>
  <si>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</si>
  <si>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</si>
  <si>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</si>
  <si>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</si>
  <si>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</si>
  <si>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</si>
  <si>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</si>
  <si>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</si>
  <si>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</si>
  <si>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</si>
  <si>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</si>
  <si>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</si>
  <si>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</si>
  <si>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</si>
  <si>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</si>
  <si>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</si>
  <si>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</si>
  <si>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</si>
  <si>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</si>
  <si>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</si>
  <si>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</si>
  <si>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</si>
  <si>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</si>
  <si>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</si>
  <si>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</si>
  <si>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</si>
  <si>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</si>
  <si>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</si>
  <si>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</si>
  <si>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</si>
  <si>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</si>
  <si>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</si>
  <si>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</si>
  <si>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</si>
  <si>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</si>
  <si>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</si>
  <si>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</si>
  <si>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</si>
  <si>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</si>
  <si>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</si>
  <si>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</si>
  <si>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</si>
  <si>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</si>
  <si>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</si>
  <si>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</si>
  <si>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</si>
  <si>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</si>
  <si>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</si>
  <si>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</si>
  <si>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</si>
  <si>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</si>
  <si>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</si>
  <si>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</si>
  <si>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</si>
  <si>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</si>
  <si>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</si>
  <si>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</si>
  <si>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</si>
  <si>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</si>
  <si>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</si>
  <si>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</si>
  <si>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</si>
  <si>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</si>
  <si>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</si>
  <si>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</si>
  <si>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</si>
  <si>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</si>
  <si>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</si>
  <si>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</si>
  <si>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</si>
  <si>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</si>
  <si>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</si>
  <si>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</si>
  <si>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</si>
  <si>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</si>
  <si>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</si>
  <si>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</si>
  <si>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</si>
  <si>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</si>
  <si>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</si>
  <si>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</si>
  <si>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</si>
  <si>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</si>
  <si>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</si>
  <si>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</si>
  <si>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</si>
  <si>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</si>
  <si>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</si>
  <si>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</si>
  <si>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</si>
  <si>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</si>
  <si>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</si>
  <si>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</si>
  <si>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</si>
  <si>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</si>
  <si>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</si>
  <si>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</si>
  <si>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</si>
  <si>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</si>
  <si>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</si>
  <si>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</si>
  <si>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</si>
  <si>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</si>
  <si>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</si>
  <si>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</si>
  <si>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</si>
  <si>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</si>
  <si>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</si>
  <si>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</si>
  <si>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</si>
  <si>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</si>
  <si>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</si>
  <si>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</si>
  <si>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</si>
  <si>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</si>
  <si>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</si>
  <si>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</si>
  <si>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</si>
  <si>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</si>
  <si>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</si>
  <si>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</si>
  <si>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</si>
  <si>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</si>
  <si>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</si>
  <si>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</si>
  <si>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</si>
  <si>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</si>
  <si>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</si>
  <si>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</si>
  <si>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</si>
  <si>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</si>
  <si>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</si>
  <si>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</si>
  <si>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</si>
  <si>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</si>
  <si>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</si>
  <si>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</si>
  <si>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</si>
  <si>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</si>
  <si>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</si>
  <si>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</si>
  <si>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</si>
  <si>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</si>
  <si>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</si>
  <si>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</si>
  <si>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</si>
  <si>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</si>
  <si>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</si>
  <si>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</si>
  <si>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</si>
  <si>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</si>
  <si>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</si>
  <si>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</si>
  <si>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</si>
  <si>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</si>
  <si>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</si>
  <si>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</si>
  <si>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</si>
  <si>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</si>
  <si>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</si>
  <si>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</si>
  <si>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</si>
  <si>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</si>
  <si>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</si>
  <si>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</si>
  <si>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</si>
  <si>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</si>
  <si>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</si>
  <si>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</si>
  <si>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</si>
  <si>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</si>
  <si>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</si>
  <si>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</si>
  <si>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</si>
  <si>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</si>
  <si>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</si>
  <si>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</si>
  <si>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</si>
  <si>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</si>
  <si>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</si>
  <si>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</si>
  <si>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</si>
  <si>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</si>
  <si>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</si>
  <si>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</si>
  <si>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</si>
  <si>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</si>
  <si>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</si>
  <si>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</si>
  <si>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</si>
  <si>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</si>
  <si>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</si>
  <si>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</si>
  <si>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</si>
  <si>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</si>
  <si>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</si>
  <si>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</si>
  <si>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</si>
  <si>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</si>
  <si>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</si>
  <si>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</si>
  <si>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</si>
  <si>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</si>
  <si>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</si>
  <si>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</si>
  <si>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</si>
  <si>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</si>
  <si>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</si>
  <si>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</si>
  <si>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</si>
  <si>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</si>
  <si>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</si>
  <si>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</si>
  <si>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</si>
  <si>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</si>
  <si>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</si>
  <si>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</si>
  <si>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</si>
  <si>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</si>
  <si>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</si>
  <si>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</si>
  <si>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</si>
  <si>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</si>
  <si>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</si>
  <si>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</si>
  <si>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</si>
  <si>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</si>
  <si>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</si>
  <si>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</si>
  <si>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</si>
  <si>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</si>
  <si>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</si>
  <si>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</si>
  <si>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</si>
  <si>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</si>
  <si>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</si>
  <si>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</si>
  <si>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</si>
  <si>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</si>
  <si>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</si>
  <si>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</si>
  <si>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</si>
  <si>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</si>
  <si>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</si>
  <si>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</si>
  <si>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</si>
  <si>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</si>
  <si>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</si>
  <si>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</si>
  <si>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</si>
  <si>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</si>
  <si>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</si>
  <si>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</si>
  <si>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</si>
  <si>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</si>
  <si>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</si>
  <si>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</si>
  <si>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</si>
  <si>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</si>
  <si>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</si>
  <si>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</si>
  <si>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</si>
  <si>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</si>
  <si>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</si>
  <si>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</si>
  <si>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</si>
  <si>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</si>
  <si>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</si>
  <si>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</si>
  <si>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</si>
  <si>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</si>
  <si>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</si>
  <si>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</si>
  <si>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</si>
  <si>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</si>
  <si>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</si>
  <si>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</si>
  <si>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</si>
  <si>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</si>
  <si>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</si>
  <si>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</si>
  <si>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</si>
  <si>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</si>
  <si>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</si>
  <si>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</si>
  <si>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</si>
  <si>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</si>
  <si>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</si>
  <si>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</si>
  <si>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</si>
  <si>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</si>
  <si>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</si>
  <si>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</si>
  <si>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</si>
  <si>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</si>
  <si>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</si>
  <si>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</si>
  <si>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</si>
  <si>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</si>
  <si>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</si>
  <si>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</si>
  <si>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</si>
  <si>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</si>
  <si>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</si>
  <si>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</si>
  <si>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</si>
  <si>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</si>
  <si>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</si>
  <si>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</si>
  <si>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</si>
  <si>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</si>
  <si>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</si>
  <si>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</si>
  <si>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</si>
  <si>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</si>
  <si>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</si>
  <si>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</si>
  <si>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</si>
  <si>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</si>
  <si>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</si>
  <si>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</si>
  <si>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</si>
  <si>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</si>
  <si>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</si>
  <si>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</si>
  <si>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</si>
  <si>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</si>
  <si>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</si>
  <si>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</si>
  <si>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</si>
  <si>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</si>
  <si>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</si>
  <si>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</si>
  <si>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</si>
  <si>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</si>
  <si>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</si>
  <si>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</si>
  <si>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</si>
  <si>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</si>
  <si>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</si>
  <si>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</si>
  <si>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</si>
  <si>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</si>
  <si>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</si>
  <si>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</si>
  <si>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</si>
  <si>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</si>
  <si>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</si>
  <si>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</si>
  <si>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</si>
  <si>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</si>
  <si>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</si>
  <si>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</si>
  <si>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</si>
  <si>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</si>
  <si>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</si>
  <si>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</si>
  <si>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</si>
  <si>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</si>
  <si>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</si>
  <si>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</si>
  <si>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</si>
  <si>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</si>
  <si>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</si>
  <si>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</si>
  <si>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</si>
  <si>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</si>
  <si>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</si>
  <si>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</si>
  <si>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</si>
  <si>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</si>
  <si>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</si>
  <si>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</si>
  <si>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</si>
  <si>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</si>
  <si>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</si>
  <si>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</si>
  <si>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</si>
  <si>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</si>
  <si>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</si>
  <si>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</si>
  <si>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</si>
  <si>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</si>
  <si>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</si>
  <si>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</si>
  <si>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</si>
  <si>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</si>
  <si>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</si>
  <si>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</si>
  <si>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</si>
  <si>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</si>
  <si>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</si>
  <si>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</si>
  <si>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</si>
  <si>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</si>
  <si>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</si>
  <si>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</si>
  <si>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</si>
  <si>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</si>
  <si>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</si>
  <si>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</si>
  <si>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</si>
  <si>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</si>
  <si>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</si>
  <si>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</si>
  <si>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</si>
  <si>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</si>
  <si>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</si>
  <si>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</si>
  <si>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</si>
  <si>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</si>
  <si>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</si>
  <si>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</si>
  <si>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</si>
  <si>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</si>
  <si>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</si>
  <si>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</si>
  <si>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</si>
  <si>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</si>
  <si>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</si>
  <si>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</si>
  <si>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</si>
  <si>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</si>
  <si>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</si>
  <si>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</si>
  <si>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</si>
  <si>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</si>
  <si>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</si>
  <si>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</si>
  <si>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</si>
  <si>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</si>
  <si>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</si>
  <si>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</si>
  <si>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</si>
  <si>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</si>
  <si>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</si>
  <si>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</si>
  <si>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</si>
  <si>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</si>
  <si>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</si>
  <si>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</si>
  <si>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</si>
  <si>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</si>
  <si>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</si>
  <si>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</si>
  <si>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</si>
  <si>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</si>
  <si>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</si>
  <si>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</si>
  <si>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</si>
  <si>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</si>
  <si>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</si>
  <si>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</si>
  <si>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</si>
  <si>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</si>
  <si>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</si>
  <si>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</si>
  <si>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</si>
  <si>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</si>
  <si>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</si>
  <si>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</si>
  <si>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</si>
  <si>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</si>
  <si>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</si>
  <si>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</si>
  <si>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</si>
  <si>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</si>
  <si>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</si>
  <si>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</si>
  <si>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</si>
  <si>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</si>
  <si>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</si>
  <si>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</si>
  <si>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</si>
  <si>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</si>
  <si>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</si>
  <si>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</si>
  <si>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</si>
  <si>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</si>
  <si>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</si>
  <si>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</si>
  <si>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</si>
  <si>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</si>
  <si>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</si>
  <si>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</si>
  <si>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</si>
  <si>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</si>
  <si>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</si>
  <si>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</si>
  <si>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</si>
  <si>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</si>
  <si>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</si>
  <si>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</si>
  <si>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</si>
  <si>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</si>
  <si>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</si>
  <si>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</si>
  <si>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</si>
  <si>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</si>
  <si>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</si>
  <si>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</si>
  <si>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</si>
  <si>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</si>
  <si>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</si>
  <si>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</si>
  <si>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</si>
  <si>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</si>
  <si>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</si>
  <si>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</si>
  <si>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</si>
  <si>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</si>
  <si>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</si>
  <si>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</si>
  <si>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</si>
  <si>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</si>
  <si>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</si>
  <si>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</si>
  <si>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</si>
  <si>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</si>
  <si>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</si>
  <si>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</si>
  <si>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</si>
  <si>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</si>
  <si>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</si>
  <si>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</si>
  <si>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</si>
  <si>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</si>
  <si>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</si>
  <si>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</si>
  <si>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</si>
  <si>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</si>
  <si>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</si>
  <si>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</si>
  <si>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</si>
  <si>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</si>
  <si>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</si>
  <si>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</si>
  <si>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</si>
  <si>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</si>
  <si>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</si>
  <si>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</si>
  <si>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</si>
  <si>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</si>
  <si>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</si>
  <si>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</si>
  <si>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</si>
  <si>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</si>
  <si>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</si>
  <si>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</si>
  <si>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</si>
  <si>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</si>
  <si>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</si>
  <si>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</si>
  <si>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</si>
  <si>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</si>
  <si>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</si>
  <si>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</si>
  <si>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</si>
  <si>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</si>
  <si>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</si>
  <si>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</si>
  <si>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</si>
  <si>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</si>
  <si>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</si>
  <si>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</si>
  <si>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</si>
  <si>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</si>
  <si>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</si>
  <si>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</si>
  <si>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</si>
  <si>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</si>
  <si>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</si>
  <si>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</si>
  <si>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</si>
  <si>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</si>
  <si>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</si>
  <si>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</si>
  <si>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</si>
  <si>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</si>
  <si>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</si>
  <si>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</si>
  <si>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</si>
  <si>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</si>
  <si>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</si>
  <si>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</si>
  <si>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</si>
  <si>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</si>
  <si>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</si>
  <si>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</si>
  <si>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</si>
  <si>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</si>
  <si>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</si>
  <si>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</si>
  <si>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</si>
  <si>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</si>
  <si>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</si>
  <si>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</si>
  <si>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</si>
  <si>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</si>
  <si>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</si>
  <si>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</si>
  <si>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</si>
  <si>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</si>
  <si>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</si>
  <si>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</si>
  <si>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</si>
  <si>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</si>
  <si>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</si>
  <si>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</si>
  <si>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</si>
  <si>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</si>
  <si>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</si>
  <si>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</si>
  <si>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</si>
  <si>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</si>
  <si>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</si>
  <si>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</si>
  <si>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</si>
  <si>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</si>
  <si>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</si>
  <si>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</si>
  <si>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</si>
  <si>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</si>
  <si>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</si>
  <si>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</si>
  <si>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</si>
  <si>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</si>
  <si>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</si>
  <si>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</si>
  <si>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</si>
  <si>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</si>
  <si>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</si>
  <si>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</si>
  <si>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</si>
  <si>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</si>
  <si>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</si>
  <si>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</si>
  <si>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</si>
  <si>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</si>
  <si>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</si>
  <si>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</si>
  <si>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</si>
  <si>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</si>
  <si>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</si>
  <si>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</si>
  <si>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</si>
  <si>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</si>
  <si>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</si>
  <si>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</si>
  <si>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</si>
  <si>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</si>
  <si>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</si>
  <si>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</si>
  <si>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</si>
  <si>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</si>
  <si>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</si>
  <si>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</si>
  <si>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</si>
  <si>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</si>
  <si>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</si>
  <si>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</si>
  <si>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</si>
  <si>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</si>
  <si>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</si>
  <si>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</si>
  <si>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</si>
  <si>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</si>
  <si>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</si>
  <si>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</si>
  <si>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</si>
  <si>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</si>
  <si>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</si>
  <si>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</si>
  <si>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</si>
  <si>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</si>
  <si>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</si>
  <si>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</si>
  <si>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</si>
  <si>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</si>
  <si>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</si>
  <si>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</si>
  <si>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ja [1]</t>
  </si>
  <si>
    <t>Beeldvormingsonderzoeken ten behoeve van het testen van nieuwe markeerstoffen/contrast middelen en nieuwe beeldvormingsmethoden.</t>
  </si>
  <si>
    <t>Beeldvorming</t>
  </si>
  <si>
    <t>Kanker</t>
  </si>
  <si>
    <t>Radiotracers</t>
  </si>
  <si>
    <t>Contrast middelen</t>
  </si>
  <si>
    <t>Muizen en Ratten</t>
  </si>
  <si>
    <t>Kanker is een van de belangrijkste doodsoorzaken in de wereld. In Nederland worden jaarlijks ongeveer 123.000 nieuwe gevallen gediagnosticeerd. Dit resulteert in een totale sterfte van 50.000 patiënten per jaar. Beeldvorming draagt bij tot een nauwkeurige diagnose van de ziekte en is essentieel voor de monitoring van de behandeling. Ook in dierstudies naar nieuwe behandelmethoden voor kanker, speelt beeldvorming een belangrijke rol. Net als in een patiënt is beeldvorming in dieren namelijk een belangrijk hulpmiddel bij het volgen van tumorgroei en respons op een (experimentele) behandeling. Het doel van dit project is het ontwikkelen en optimaliseren van preklinische beeldvormingsmethoden die kunnen worden ingezet in diverse projecten, zowel in onderzoeken naar het ontstaan en de behandeling van kanker, alsmede in studies in patiënten.</t>
  </si>
  <si>
    <t xml:space="preserve">De dieren zullen worden gebruikt voor het optimaliseren van verschillende beeldvormingstechnieken. Indien nodig, worden radioactieve markeerstoffen of contrastmiddelen toegediend door middel van een injectie of via een andere route van toediening. Daarna vindt de beeldvorming plaats. Dit gebeurt altijd onder anesthesie. Soms volstaat het gebruik van een gezond dier waarin geen genetische veranderingen zijn aangebracht. In andere gevallen is het nodig om gebruik te maken van tumor modellen die een bepaald type kanker in de mens zo goed mogelijk nabootsen. In dat geval kunnen genetisch gemodificeerde dieren gebruikt worden, die spontaan of na toediening van een stof een tumor ontwikkelen. Ook kunnen tumoren getransplanteerd worden door middel van injectie of een operatie. Dit gebeurt altijd onder anesthesie. Afhankelijk van de vraagstelling kan het nodig zijn dat een dier een beeldvormings procedure meerdere malen ondergaat. </t>
  </si>
  <si>
    <t xml:space="preserve">De dieren zullen van een aantal factoren ongerief ondervinden. Het grootste ongerief komt in de meeste gevallen voort uit de procedures om de tumor te induceren, en de groei van de tumor zelf. Verder zullen de dieren ook ongerief ondervinden van de technieken die nodig zijn voor de beeldvorming, zoals vasten en onder narcose gebracht worden. </t>
  </si>
  <si>
    <t>Na de experimentele procedures worden de dieren op humane wijze gedood. De reden hiervoor is om het ongerief voor de dieren (bijvoorbeeld ten gevolgde van tumorgroei) zoveel mogelijk te beperken.</t>
  </si>
  <si>
    <t>Dieren kunnen in dit project niet worden vervangen. Het doel van het project is het ontwikkelen van beeldvormingstechnieken voor andere onderzoeksprojecten. Voor zover mogelijk worden beeldvormingstechnieken eerst geoptimaliseerd door gebruik te maken van dummy modellen.</t>
  </si>
  <si>
    <t xml:space="preserve">Het minimale aantal dieren wordt gebruikt om experimenten succesvol uit te voeren. Deze aantallen zijn gebaseerd op onze ervaringen met dit type experimenten in de afgelopen 5 jaar. Daarnaast worden dieren zoveel mogelijk hergebruikt voor de verschillende stappen binnen een beeldvormingsexperiment. </t>
  </si>
  <si>
    <t xml:space="preserve">Waar mogelijk zal het onderzoek in dit project worden gedaan op gezonde muizen en ratten, zodat ongerief door tumorgroei zoveel mogelijk voorkomen wordt. In de meeste gevallen zullen de dieren worden gedood voordat de maximaal toegestane tumorgrootte bereikt is, zodat ook hier ongerief wordt voorkomen. Alle beeldvormingstechnieken zullen worden uitgevoerd onder anesthesie. Rondom pijnlijke of operatieve ingrepen wordt pijnstilling toegepast.  </t>
  </si>
  <si>
    <t>Beeldvorming is essentieel om te zien waar de kanker zich in het lichaam bevindt en hoe de kanker reageert op een behandeling. Door het optimaliseren van beeldvormingstechnieken kan de meest nauwkeurige foto van de  tumor worden genomen. Dit is om verschillende redenen van belang. Ten eerste helpen geoptimaliseerde beeldvormingstechnieken in onderzoeken naar het ontstaan en de behandeling van kanker. Ten tweede kunnen de sommige van de technieken die in dit project worden ontwikkeld en geoptimaliseerd, worden toegepast in patiënten. Dit zorgt er uiteindelijk voor dat patiënten toegang krijgen tot betere zorg.</t>
  </si>
  <si>
    <t xml:space="preserve">Muizen worden bij voorkeur gebruikt voor kankeronderzoek, door de verscheidenheid aan beschikbare kankermodellen, en de vele technische mogelijkheden om genetische veranderingen aan te brengen. Alleen als een specifieke onderzoeksvraag niet beantwoord kan worden met behulp van een muismodel worden ratten ingezet. Een voorbeeld hiervan is het bestuderen van hormoon gevoelige borstkanker, een ziekte die in muizen niet goed kan worden nagebootst. 
Over het algemeen zullen jongvolwassen dieren worden gebruikt. Alleen als een specifieke onderzoeksvraag niet beantwoord kan worden met dieren uit deze leeftijdscategorie, zullen jongere of oudere dieren gebruikt worden. 
</t>
  </si>
  <si>
    <t>Fundamenteel onderzoek: Oncologie [PB1]</t>
  </si>
  <si>
    <t>Omzettinggericht en toegepast onderzoek: Kanker bij de mens [PT21]</t>
  </si>
  <si>
    <t>Omzettinggericht en toegepast onderzoek: Diagnose van ziekten [PT35]</t>
  </si>
  <si>
    <t>Muizen (Mus musculus) [A1]</t>
  </si>
  <si>
    <t>Ratten (Rattus norvegicus)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</si>
</sst>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0" xfId="0" applyFont="1" applyAlignment="1">
      <alignment horizontal="left" vertical="top"/>
    </xf>
    <xf numFmtId="0" fontId="1" fillId="0" borderId="26" xfId="0" applyFont="1" applyBorder="1" applyAlignment="1">
      <alignment horizontal="left" vertical="top"/>
    </xf>
    <xf numFmtId="0" fontId="0" fillId="0" borderId="0" xfId="0" applyBorder="1" applyAlignment="1" applyProtection="1">
      <alignment horizontal="center" vertical="top"/>
    </xf>
    <xf numFmtId="0" fontId="0" fillId="0" borderId="16" xfId="0" applyFont="1" applyBorder="1" applyAlignment="1">
      <alignment horizontal="left" vertical="top"/>
    </xf>
    <xf numFmtId="49" fontId="8" fillId="2" borderId="13" xfId="3" applyNumberFormat="1"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protection locked="0"/>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0" fillId="0" borderId="0" xfId="0" applyFont="1" applyBorder="1" applyAlignment="1">
      <alignment horizontal="left" vertical="top"/>
    </xf>
    <xf numFmtId="0" fontId="8" fillId="2" borderId="13" xfId="3" applyFont="1" applyBorder="1" applyAlignment="1" applyProtection="1">
      <alignment horizontal="left" vertical="top"/>
      <protection locked="0"/>
    </xf>
    <xf numFmtId="0" fontId="8" fillId="2" borderId="13" xfId="3" applyFont="1" applyBorder="1" applyAlignment="1" applyProtection="1">
      <alignment horizontal="left" vertical="top" wrapText="1"/>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0" fillId="0" borderId="0" xfId="0" applyNumberFormat="1" applyBorder="1" applyAlignment="1" applyProtection="1">
      <alignment horizontal="left" vertical="top" wrapText="1"/>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16" xfId="0" applyFont="1" applyBorder="1"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1" fillId="0" borderId="0" xfId="0" applyFont="1" applyBorder="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0" fillId="0" borderId="16" xfId="0" applyBorder="1"/>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Accent2" xfId="4" builtinId="34"/>
    <cellStyle name="Explanatory Text" xfId="1" builtinId="53"/>
    <cellStyle name="Heading 3" xfId="6" builtinId="18"/>
    <cellStyle name="Hyperlink" xfId="5" builtinId="8"/>
    <cellStyle name="Normal" xfId="0" builtinId="0"/>
    <cellStyle name="Output" xfId="3" builtinId="21"/>
    <cellStyle name="Title" xfId="2" builtinId="15"/>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31" zoomScale="85" zoomScaleNormal="85" workbookViewId="0">
      <selection activeCell="C34" sqref="C34:F34"/>
    </sheetView>
  </sheetViews>
  <sheetFormatPr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2.140625" style="10" customWidth="1"/>
    <col min="8" max="8" width="55.140625" style="47" customWidth="1"/>
    <col min="9" max="9" width="75.28515625" style="30" customWidth="1"/>
    <col min="10" max="16384" width="9" style="2"/>
  </cols>
  <sheetData>
    <row r="1" spans="1:9" ht="23.25" x14ac:dyDescent="0.25">
      <c r="A1" s="3" t="s">
        <v>7</v>
      </c>
      <c r="B1" s="4" t="s">
        <v>7</v>
      </c>
      <c r="C1" s="132" t="str">
        <f>UPPER(NTS_title)</f>
        <v>NIET-TECHNISCHE PROJECTSAMENVATTING</v>
      </c>
      <c r="D1" s="132"/>
      <c r="E1" s="132"/>
      <c r="F1" s="132"/>
      <c r="G1" s="32" t="s">
        <v>6</v>
      </c>
      <c r="H1" s="29"/>
    </row>
    <row r="2" spans="1:9" ht="16.149999999999999" customHeight="1" x14ac:dyDescent="0.25">
      <c r="A2" s="5" t="s">
        <v>152</v>
      </c>
      <c r="B2" s="7" t="str">
        <f>IF(TRIM(D2)="","",UPPER(D2))</f>
        <v>NL</v>
      </c>
      <c r="C2" s="11" t="str">
        <f>country_label</f>
        <v>Land</v>
      </c>
      <c r="D2" s="17" t="s">
        <v>55</v>
      </c>
      <c r="E2" s="135"/>
      <c r="F2" s="136"/>
      <c r="G2" s="74" t="s">
        <v>550</v>
      </c>
      <c r="H2" s="29"/>
      <c r="I2" s="30" t="str">
        <f>compulsory_field_tinstr&amp;" "</f>
        <v xml:space="preserve">Verplicht! </v>
      </c>
    </row>
    <row r="3" spans="1:9" ht="16.149999999999999" customHeight="1" x14ac:dyDescent="0.25">
      <c r="A3" s="5" t="s">
        <v>153</v>
      </c>
      <c r="B3" s="7" t="str">
        <f>IF(TRIM(D3)="","",LOWER(D3))</f>
        <v>nl</v>
      </c>
      <c r="C3" s="11" t="str">
        <f>language_label</f>
        <v>Taal</v>
      </c>
      <c r="D3" s="18" t="s">
        <v>28</v>
      </c>
      <c r="E3" s="135"/>
      <c r="F3" s="136"/>
      <c r="G3" s="74" t="s">
        <v>550</v>
      </c>
      <c r="H3" s="29"/>
      <c r="I3" s="30" t="str">
        <f>compulsory_field_tinstr&amp;" "</f>
        <v xml:space="preserve">Verplicht! </v>
      </c>
    </row>
    <row r="4" spans="1:9" s="69" customFormat="1" ht="15" customHeight="1" x14ac:dyDescent="0.25">
      <c r="A4" s="5" t="s">
        <v>509</v>
      </c>
      <c r="B4" s="4">
        <f>IF(TRIM(D4)="","",VALUE(MID(D4,SEARCH("[", D4)+1,SEARCH("]",D4)-SEARCH("[",D4)-1)))</f>
        <v>1</v>
      </c>
      <c r="C4" s="68" t="str">
        <f>euSubmission_label</f>
        <v>Indiening bij EU</v>
      </c>
      <c r="D4" s="67" t="s">
        <v>4952</v>
      </c>
      <c r="E4" s="137"/>
      <c r="F4" s="138"/>
      <c r="G4" s="74" t="s">
        <v>550</v>
      </c>
      <c r="H4" s="29"/>
      <c r="I4" s="30" t="str">
        <f>compulsory_field_tinstr&amp;" "&amp;" "&amp;not_published_instr&amp;" "&amp;euSubmission_instr</f>
        <v>Verplicht!  Veld wordt niet gepubliceerd. Geef aan of het project al dan niet binnen het toepassingsgebied van de richtlijn valt.</v>
      </c>
    </row>
    <row r="5" spans="1:9" x14ac:dyDescent="0.25">
      <c r="A5" s="5" t="s">
        <v>154</v>
      </c>
      <c r="B5" s="7" t="str">
        <f>IF(TRIM(D5)="","",D5)</f>
        <v>Beeldvormingsonderzoeken ten behoeve van het testen van nieuwe markeerstoffen/contrast middelen en nieuwe beeldvormingsmethoden.</v>
      </c>
      <c r="C5" s="11" t="str">
        <f>projectTitle_label</f>
        <v>Naam van het project</v>
      </c>
      <c r="D5" s="124" t="s">
        <v>4953</v>
      </c>
      <c r="E5" s="124"/>
      <c r="F5" s="124"/>
      <c r="G5" s="74" t="s">
        <v>550</v>
      </c>
      <c r="I5" s="30" t="str">
        <f>compulsory_field_tinstr&amp;" "&amp;maxLength_500_tinstr</f>
        <v>Verplicht! Maximale lengte is 500 tekens.</v>
      </c>
    </row>
    <row r="6" spans="1:9" s="69" customFormat="1" x14ac:dyDescent="0.25">
      <c r="A6" s="5" t="s">
        <v>538</v>
      </c>
      <c r="B6" s="7" t="str">
        <f>IF(TRIM(D6)="","",D6)</f>
        <v/>
      </c>
      <c r="C6" s="68" t="str">
        <f>ntsId_label</f>
        <v>NTS-identificatiecode</v>
      </c>
      <c r="D6" s="139"/>
      <c r="E6" s="140"/>
      <c r="F6" s="65"/>
      <c r="G6" s="66"/>
      <c r="H6" s="35"/>
      <c r="I6" s="30" t="str">
        <f>ntsId_instr&amp;" "&amp;ntsId_tinstr</f>
        <v>Unieke, door het centrale EC-systeem toegekende NTS-identificatiecode. Alleen in te vullen wanneer de NTS al in het EC-systeem is opgeslagen.</v>
      </c>
    </row>
    <row r="7" spans="1:9" ht="31.9" customHeight="1" x14ac:dyDescent="0.25">
      <c r="A7" s="5" t="s">
        <v>511</v>
      </c>
      <c r="B7" s="15" t="str">
        <f>IF(TRIM(D7)="","",D7)</f>
        <v/>
      </c>
      <c r="C7" s="107" t="str">
        <f>ntsNationalId_label</f>
        <v>Nationale identificatiecode van de NTS</v>
      </c>
      <c r="D7" s="119"/>
      <c r="E7" s="119"/>
      <c r="F7" s="119"/>
      <c r="H7" s="35"/>
      <c r="I7" s="30" t="str">
        <f>not_published_instr&amp;" "&amp;ntsNationalId_instr&amp;" "&amp;maxLength_500_tinstr</f>
        <v>Veld wordt niet gepubliceerd. Nationale identificatiecode van de NTS Maximale lengte is 500 tekens.</v>
      </c>
    </row>
    <row r="8" spans="1:9" ht="15" customHeight="1" x14ac:dyDescent="0.25">
      <c r="A8" s="5" t="s">
        <v>155</v>
      </c>
      <c r="B8" s="4">
        <f>IF(TRIM(D8)="","",D8)</f>
        <v>60</v>
      </c>
      <c r="C8" s="11" t="str">
        <f>projectDuration_label</f>
        <v>Duur van het project</v>
      </c>
      <c r="D8" s="18">
        <v>60</v>
      </c>
      <c r="E8" s="133" t="str">
        <f>duration_unit_label</f>
        <v>(in maanden)</v>
      </c>
      <c r="F8" s="134"/>
      <c r="G8" s="74" t="s">
        <v>550</v>
      </c>
      <c r="H8" s="35"/>
      <c r="I8" s="30" t="str">
        <f>compulsory_field_tinstr&amp;" "&amp;projectDuration_instr&amp;" "&amp;projectDuration_tinstr</f>
        <v>Verplicht! Duur van het project, uitgedrukt in maanden. Moet een heel getal tussen 1 en 60 zijn!</v>
      </c>
    </row>
    <row r="9" spans="1:9" x14ac:dyDescent="0.25">
      <c r="A9" s="5" t="s">
        <v>514</v>
      </c>
      <c r="B9" s="4" t="s">
        <v>156</v>
      </c>
      <c r="C9" s="114" t="str">
        <f>keywords_label</f>
        <v>Trefwoorden</v>
      </c>
      <c r="D9" s="114"/>
      <c r="E9" s="114"/>
      <c r="F9" s="115"/>
      <c r="G9" s="74" t="s">
        <v>550</v>
      </c>
      <c r="I9" s="30" t="str">
        <f>compulsory_field_tinstr&amp;" "&amp;at_least_one_keyword_mssg</f>
        <v>Verplicht! Er moet ten minste één trefwoord worden ingevoerd!</v>
      </c>
    </row>
    <row r="10" spans="1:9" x14ac:dyDescent="0.25">
      <c r="A10" s="5"/>
      <c r="B10" s="7" t="str">
        <f t="shared" ref="B10:B14" si="0">IF(TRIM(D10)="","",D10)</f>
        <v>Beeldvorming</v>
      </c>
      <c r="C10" s="20" t="str">
        <f>keyword_label &amp; " " &amp; 1</f>
        <v>Trefwoord 1</v>
      </c>
      <c r="D10" s="124" t="s">
        <v>4954</v>
      </c>
      <c r="E10" s="124"/>
      <c r="F10" s="124"/>
      <c r="I10" s="30" t="str">
        <f>maxLength_50_tinstr&amp;" "&amp;keyword_tinstr</f>
        <v>Maximale lengte is 50 tekens inclusief spaties. Kan uit meer dan één woord bestaan.</v>
      </c>
    </row>
    <row r="11" spans="1:9" x14ac:dyDescent="0.25">
      <c r="A11" s="5"/>
      <c r="B11" s="7" t="str">
        <f t="shared" si="0"/>
        <v>Kanker</v>
      </c>
      <c r="C11" s="20" t="str">
        <f>keyword_label &amp; " " &amp; 2</f>
        <v>Trefwoord 2</v>
      </c>
      <c r="D11" s="119" t="s">
        <v>4955</v>
      </c>
      <c r="E11" s="119"/>
      <c r="F11" s="119"/>
      <c r="I11" s="30" t="str">
        <f>maxLength_50_tinstr&amp;" "&amp;keyword_tinstr</f>
        <v>Maximale lengte is 50 tekens inclusief spaties. Kan uit meer dan één woord bestaan.</v>
      </c>
    </row>
    <row r="12" spans="1:9" x14ac:dyDescent="0.25">
      <c r="A12" s="5"/>
      <c r="B12" s="7" t="str">
        <f t="shared" si="0"/>
        <v>Radiotracers</v>
      </c>
      <c r="C12" s="20" t="str">
        <f>keyword_label &amp; " " &amp; 3</f>
        <v>Trefwoord 3</v>
      </c>
      <c r="D12" s="119" t="s">
        <v>4956</v>
      </c>
      <c r="E12" s="119"/>
      <c r="F12" s="119"/>
      <c r="I12" s="30" t="str">
        <f>maxLength_50_tinstr&amp;" "&amp;keyword_tinstr</f>
        <v>Maximale lengte is 50 tekens inclusief spaties. Kan uit meer dan één woord bestaan.</v>
      </c>
    </row>
    <row r="13" spans="1:9" x14ac:dyDescent="0.25">
      <c r="A13" s="5"/>
      <c r="B13" s="7" t="str">
        <f t="shared" si="0"/>
        <v>Contrast middelen</v>
      </c>
      <c r="C13" s="20" t="str">
        <f>keyword_label &amp; " " &amp; 4</f>
        <v>Trefwoord 4</v>
      </c>
      <c r="D13" s="125" t="s">
        <v>4957</v>
      </c>
      <c r="E13" s="125"/>
      <c r="F13" s="125"/>
      <c r="I13" s="30" t="str">
        <f>maxLength_50_tinstr&amp;" "&amp;keyword_tinstr</f>
        <v>Maximale lengte is 50 tekens inclusief spaties. Kan uit meer dan één woord bestaan.</v>
      </c>
    </row>
    <row r="14" spans="1:9" x14ac:dyDescent="0.25">
      <c r="A14" s="5"/>
      <c r="B14" s="7" t="str">
        <f t="shared" si="0"/>
        <v>Muizen en Ratten</v>
      </c>
      <c r="C14" s="20" t="str">
        <f>keyword_label &amp; " " &amp; 5</f>
        <v>Trefwoord 5</v>
      </c>
      <c r="D14" s="119" t="s">
        <v>4958</v>
      </c>
      <c r="E14" s="119"/>
      <c r="F14" s="119"/>
      <c r="G14" s="24"/>
      <c r="I14" s="30" t="str">
        <f>maxLength_50_tinstr&amp;" "&amp;keyword_tinstr</f>
        <v>Maximale lengte is 50 tekens inclusief spaties. Kan uit meer dan één woord bestaan.</v>
      </c>
    </row>
    <row r="15" spans="1:9" x14ac:dyDescent="0.25">
      <c r="A15" s="5" t="s">
        <v>515</v>
      </c>
      <c r="C15" s="111" t="str" cm="1">
        <f t="array" ref="C15">projectPurposes_label</f>
        <v>Doel(en) van het project</v>
      </c>
      <c r="D15" s="111"/>
      <c r="E15" s="111"/>
      <c r="F15" s="111"/>
      <c r="G15" s="74" t="s">
        <v>550</v>
      </c>
      <c r="I15" s="30" t="str">
        <f>compulsory_field_tinstr&amp;" "&amp;projectPurposes_tinstr&amp;" "&amp;at_least_one_purpose_mssg</f>
        <v>Verplicht! Vul het blad "Doel van het project” in. Er moet ten minste één doel worden gekozen!</v>
      </c>
    </row>
    <row r="16" spans="1:9" x14ac:dyDescent="0.25">
      <c r="A16" s="5"/>
      <c r="C16" s="114" t="str">
        <f>objectives_and_benefits_label</f>
        <v>Doelstellingen en verwachte voordelen van het project</v>
      </c>
      <c r="D16" s="114"/>
      <c r="E16" s="114"/>
      <c r="F16" s="114"/>
      <c r="G16" s="114"/>
    </row>
    <row r="17" spans="1:9" x14ac:dyDescent="0.25">
      <c r="A17" s="5"/>
      <c r="C17" s="121" t="str">
        <f>projectObjectives_label</f>
        <v>Doelstellingen van het project</v>
      </c>
      <c r="D17" s="121"/>
      <c r="E17" s="121"/>
      <c r="F17" s="121"/>
      <c r="G17" s="74" t="s">
        <v>550</v>
      </c>
    </row>
    <row r="18" spans="1:9" ht="127.5" customHeight="1" x14ac:dyDescent="0.25">
      <c r="A18" s="5" t="s">
        <v>157</v>
      </c>
      <c r="B18" s="15" t="str">
        <f>IF(TRIM(C18)="","",C18)</f>
        <v>Kanker is een van de belangrijkste doodsoorzaken in de wereld. In Nederland worden jaarlijks ongeveer 123.000 nieuwe gevallen gediagnosticeerd. Dit resulteert in een totale sterfte van 50.000 patiënten per jaar. Beeldvorming draagt bij tot een nauwkeurige diagnose van de ziekte en is essentieel voor de monitoring van de behandeling. Ook in dierstudies naar nieuwe behandelmethoden voor kanker, speelt beeldvorming een belangrijke rol. Net als in een patiënt is beeldvorming in dieren namelijk een belangrijk hulpmiddel bij het volgen van tumorgroei en respons op een (experimentele) behandeling. Het doel van dit project is het ontwikkelen en optimaliseren van preklinische beeldvormingsmethoden die kunnen worden ingezet in diverse projecten, zowel in onderzoeken naar het ontstaan en de behandeling van kanker, alsmede in studies in patiënten.</v>
      </c>
      <c r="C18" s="118" t="s">
        <v>4959</v>
      </c>
      <c r="D18" s="119"/>
      <c r="E18" s="119"/>
      <c r="F18" s="119"/>
      <c r="H18" s="35" t="str">
        <f>projectObjectives_instr</f>
        <v>Beschrijf de doelstellingen van het project (bijvoorbeeld het aanpakken van bepaalde wetenschappelijke onduidelijkheden, of wetenschappelijke of klinische behoeften).</v>
      </c>
      <c r="I18" s="30" t="str">
        <f>compulsory_field_tinstr&amp;" "&amp;maxLength_2500_tinstr</f>
        <v>Verplicht! Maximale lengte is 2500 tekens.</v>
      </c>
    </row>
    <row r="19" spans="1:9" x14ac:dyDescent="0.25">
      <c r="A19" s="5"/>
      <c r="B19" s="7"/>
      <c r="C19" s="121" t="str">
        <f>potentialBenefits_label</f>
        <v>Potentiële voordelen die dit project kan opleveren</v>
      </c>
      <c r="D19" s="121"/>
      <c r="E19" s="121"/>
      <c r="F19" s="121"/>
      <c r="G19" s="74" t="s">
        <v>550</v>
      </c>
    </row>
    <row r="20" spans="1:9" ht="127.5" customHeight="1" x14ac:dyDescent="0.25">
      <c r="A20" s="5" t="s">
        <v>158</v>
      </c>
      <c r="B20" s="15" t="str">
        <f>IF(TRIM(C20)="","",C20)</f>
        <v>Beeldvorming is essentieel om te zien waar de kanker zich in het lichaam bevindt en hoe de kanker reageert op een behandeling. Door het optimaliseren van beeldvormingstechnieken kan de meest nauwkeurige foto van de  tumor worden genomen. Dit is om verschillende redenen van belang. Ten eerste helpen geoptimaliseerde beeldvormingstechnieken in onderzoeken naar het ontstaan en de behandeling van kanker. Ten tweede kunnen de sommige van de technieken die in dit project worden ontwikkeld en geoptimaliseerd, worden toegepast in patiënten. Dit zorgt er uiteindelijk voor dat patiënten toegang krijgen tot betere zorg.</v>
      </c>
      <c r="C20" s="118" t="s">
        <v>4966</v>
      </c>
      <c r="D20" s="119"/>
      <c r="E20" s="119"/>
      <c r="F20" s="119"/>
      <c r="H20" s="35" t="str">
        <f>potentialBenefits_instr</f>
        <v>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v>
      </c>
      <c r="I20" s="30" t="str">
        <f>compulsory_field_tinstr&amp;" "&amp;maxLength_2500_tinstr</f>
        <v>Verplicht! Maximale lengte is 2500 tekens.</v>
      </c>
    </row>
    <row r="21" spans="1:9" x14ac:dyDescent="0.25">
      <c r="A21" s="5"/>
      <c r="B21" s="7"/>
      <c r="C21" s="141" t="str" cm="1">
        <f t="array" ref="C21">predicted_harms_label</f>
        <v>Voorspelde schade</v>
      </c>
      <c r="D21" s="141"/>
      <c r="E21" s="141"/>
      <c r="F21" s="141"/>
      <c r="G21" s="141"/>
    </row>
    <row r="22" spans="1:9" x14ac:dyDescent="0.25">
      <c r="A22" s="5"/>
      <c r="B22" s="7"/>
      <c r="C22" s="122" t="str">
        <f>procedures_label</f>
        <v>In welke procedures worden de dieren gewoonlijk gebruikt</v>
      </c>
      <c r="D22" s="122"/>
      <c r="E22" s="122"/>
      <c r="F22" s="122"/>
      <c r="G22" s="74" t="s">
        <v>550</v>
      </c>
    </row>
    <row r="23" spans="1:9" ht="127.5" customHeight="1" x14ac:dyDescent="0.25">
      <c r="A23" s="5" t="s">
        <v>159</v>
      </c>
      <c r="B23" s="15" t="str">
        <f>IF(TRIM(C23)="","",C23)</f>
        <v xml:space="preserve">De dieren zullen worden gebruikt voor het optimaliseren van verschillende beeldvormingstechnieken. Indien nodig, worden radioactieve markeerstoffen of contrastmiddelen toegediend door middel van een injectie of via een andere route van toediening. Daarna vindt de beeldvorming plaats. Dit gebeurt altijd onder anesthesie. Soms volstaat het gebruik van een gezond dier waarin geen genetische veranderingen zijn aangebracht. In andere gevallen is het nodig om gebruik te maken van tumor modellen die een bepaald type kanker in de mens zo goed mogelijk nabootsen. In dat geval kunnen genetisch gemodificeerde dieren gebruikt worden, die spontaan of na toediening van een stof een tumor ontwikkelen. Ook kunnen tumoren getransplanteerd worden door middel van injectie of een operatie. Dit gebeurt altijd onder anesthesie. Afhankelijk van de vraagstelling kan het nodig zijn dat een dier een beeldvormings procedure meerdere malen ondergaat. </v>
      </c>
      <c r="C23" s="118" t="s">
        <v>4960</v>
      </c>
      <c r="D23" s="119"/>
      <c r="E23" s="119"/>
      <c r="F23" s="119"/>
      <c r="H23" s="35" t="str">
        <f>procedures_instr</f>
        <v>In welke procedures worden de dieren gewoonlijk gebruikt (bijvoorbeeld injecties, chirurgische procedures)? Vermeld het aantal en de duur van deze procedures.</v>
      </c>
      <c r="I23" s="30" t="str">
        <f>compulsory_field_tinstr&amp;" "&amp;maxLength_2500_tinstr</f>
        <v>Verplicht! Maximale lengte is 2500 tekens.</v>
      </c>
    </row>
    <row r="24" spans="1:9" x14ac:dyDescent="0.25">
      <c r="A24" s="5"/>
      <c r="B24" s="7"/>
      <c r="C24" s="117" t="str" cm="1">
        <f t="array" ref="C24">expectedImpacts_label</f>
        <v>Verwachte gevolgen/nadelige effecten voor de dieren</v>
      </c>
      <c r="D24" s="117"/>
      <c r="E24" s="117"/>
      <c r="F24" s="117"/>
      <c r="G24" s="74" t="s">
        <v>550</v>
      </c>
    </row>
    <row r="25" spans="1:9" ht="127.5" customHeight="1" x14ac:dyDescent="0.25">
      <c r="A25" s="5" t="s">
        <v>160</v>
      </c>
      <c r="B25" s="15" t="str">
        <f>IF(TRIM(C25)="","",C25)</f>
        <v xml:space="preserve">De dieren zullen van een aantal factoren ongerief ondervinden. Het grootste ongerief komt in de meeste gevallen voort uit de procedures om de tumor te induceren, en de groei van de tumor zelf. Verder zullen de dieren ook ongerief ondervinden van de technieken die nodig zijn voor de beeldvorming, zoals vasten en onder narcose gebracht worden. </v>
      </c>
      <c r="C25" s="118" t="s">
        <v>4961</v>
      </c>
      <c r="D25" s="119"/>
      <c r="E25" s="119"/>
      <c r="F25" s="119"/>
      <c r="H25" s="35" t="str">
        <f>expectedImpacts_instr</f>
        <v>Wat zijn de verwachte gevolgen/nadelige effecten voor de dieren, bijvoorbeeld pijn, gewichtsverlies, inactiviteit/verminderde mobiliteit, stress, abnormaal gedrag, en wat is de duur van die effecten?</v>
      </c>
      <c r="I25" s="30" t="str">
        <f>compulsory_field_tinstr&amp;" "&amp;maxLength_2500_tinstr</f>
        <v>Verplicht! Maximale lengte is 2500 tekens.</v>
      </c>
    </row>
    <row r="26" spans="1:9" ht="65.650000000000006" customHeight="1" x14ac:dyDescent="0.25">
      <c r="A26" s="5" t="s">
        <v>516</v>
      </c>
      <c r="C26" s="112" t="str">
        <f>expectedHarms_label</f>
        <v>Verwachte schade</v>
      </c>
      <c r="D26" s="112"/>
      <c r="E26" s="112"/>
      <c r="F26" s="113"/>
      <c r="G26" s="74" t="s">
        <v>550</v>
      </c>
      <c r="H26" s="35" t="str">
        <f>expectedHarms_instr</f>
        <v>Welke soorten en aantallen dieren zullen naar verwachting worden gebruikt? Wat zijn de verwachte ernstgraden en de aantallen dieren in elke ernstcategorie (per soort)?</v>
      </c>
      <c r="I26" s="30" t="str">
        <f>compulsory_field_tinstr&amp;" "&amp;expectedHarms_tinstr</f>
        <v>Verplicht! Vul het blad "Verwachte schade” in. Gelieve ten minste één rij in te vullen!</v>
      </c>
    </row>
    <row r="27" spans="1:9" ht="30" x14ac:dyDescent="0.25">
      <c r="A27" s="5" t="s">
        <v>517</v>
      </c>
      <c r="C27" s="130" t="str">
        <f>fateList_label</f>
        <v>Lot van in leven gehouden dieren</v>
      </c>
      <c r="D27" s="130"/>
      <c r="E27" s="130"/>
      <c r="F27" s="130"/>
      <c r="G27" s="24"/>
      <c r="H27" s="35" t="str">
        <f>fateList_instr</f>
        <v>Wat gebeurt er met de dieren die aan het einde van de procedure in leven worden gehouden?</v>
      </c>
      <c r="I27" s="30" t="str">
        <f>fateList_tinstr</f>
        <v>Vul het blad "Lot van in leven gehouden dieren" in, indien van toepassing.</v>
      </c>
    </row>
    <row r="28" spans="1:9" x14ac:dyDescent="0.25">
      <c r="C28" s="142" t="str">
        <f>fateReasons_label</f>
        <v>Redenen voor het geplande lot van de dieren na de procedure</v>
      </c>
      <c r="D28" s="142"/>
      <c r="E28" s="142"/>
      <c r="F28" s="142"/>
      <c r="G28" s="74" t="s">
        <v>550</v>
      </c>
    </row>
    <row r="29" spans="1:9" ht="127.5" customHeight="1" x14ac:dyDescent="0.25">
      <c r="A29" s="5" t="s">
        <v>161</v>
      </c>
      <c r="B29" s="15" t="str">
        <f>IF(TRIM(C29)="","",C29)</f>
        <v>Na de experimentele procedures worden de dieren op humane wijze gedood. De reden hiervoor is om het ongerief voor de dieren (bijvoorbeeld ten gevolgde van tumorgroei) zoveel mogelijk te beperken.</v>
      </c>
      <c r="C29" s="118" t="s">
        <v>4962</v>
      </c>
      <c r="D29" s="119"/>
      <c r="E29" s="119"/>
      <c r="F29" s="119"/>
      <c r="H29" s="35" t="str">
        <f>fateReasons_instr</f>
        <v>Geef de redenen voor het geplande lot van de dieren na de procedure.</v>
      </c>
      <c r="I29" s="30" t="str">
        <f>compulsory_field_tinstr&amp;" "&amp;maxLength_2500_tinstr</f>
        <v>Verplicht! Maximale lengte is 2500 tekens.</v>
      </c>
    </row>
    <row r="30" spans="1:9" x14ac:dyDescent="0.25">
      <c r="A30" s="5"/>
      <c r="B30" s="7"/>
      <c r="C30" s="141" t="str">
        <f>application_of_the_three_rs_label</f>
        <v>Toepassing van de drie V’s</v>
      </c>
      <c r="D30" s="141"/>
      <c r="E30" s="141"/>
      <c r="F30" s="141"/>
      <c r="G30" s="141"/>
    </row>
    <row r="31" spans="1:9" x14ac:dyDescent="0.25">
      <c r="A31" s="5"/>
      <c r="B31" s="7"/>
      <c r="C31" s="141" t="str">
        <f>replacement_label</f>
        <v>1. Vervanging</v>
      </c>
      <c r="D31" s="141"/>
      <c r="E31" s="141"/>
      <c r="F31" s="141"/>
      <c r="G31" s="74" t="s">
        <v>550</v>
      </c>
    </row>
    <row r="32" spans="1:9" ht="127.5" customHeight="1" x14ac:dyDescent="0.25">
      <c r="A32" s="5" t="s">
        <v>162</v>
      </c>
      <c r="B32" s="15" t="str">
        <f>IF(TRIM(C32)="","",C32)</f>
        <v>Dieren kunnen in dit project niet worden vervangen. Het doel van het project is het ontwikkelen van beeldvormingstechnieken voor andere onderzoeksprojecten. Voor zover mogelijk worden beeldvormingstechnieken eerst geoptimaliseerd door gebruik te maken van dummy modellen.</v>
      </c>
      <c r="C32" s="118" t="s">
        <v>4963</v>
      </c>
      <c r="D32" s="119"/>
      <c r="E32" s="119"/>
      <c r="F32" s="119"/>
      <c r="H32" s="35" t="str">
        <f>replacement_instr</f>
        <v>Beschrijf welke diervrije alternatieven op dit gebied voorhanden zijn en waarom zij niet voor het project kunnen worden gebruikt.</v>
      </c>
      <c r="I32" s="30" t="str">
        <f>compulsory_field_tinstr&amp;" "&amp;maxLength_2500_tinstr</f>
        <v>Verplicht! Maximale lengte is 2500 tekens.</v>
      </c>
    </row>
    <row r="33" spans="1:9" x14ac:dyDescent="0.25">
      <c r="A33" s="5"/>
      <c r="B33" s="7"/>
      <c r="C33" s="131" t="str">
        <f>reduction_label</f>
        <v>2. Vermindering</v>
      </c>
      <c r="D33" s="131"/>
      <c r="E33" s="131"/>
      <c r="F33" s="131"/>
      <c r="G33" s="74" t="s">
        <v>550</v>
      </c>
    </row>
    <row r="34" spans="1:9" ht="150.75" customHeight="1" x14ac:dyDescent="0.25">
      <c r="A34" s="5" t="s">
        <v>163</v>
      </c>
      <c r="B34" s="15" t="str">
        <f>IF(TRIM(C34)="","",C34)</f>
        <v xml:space="preserve">Het minimale aantal dieren wordt gebruikt om experimenten succesvol uit te voeren. Deze aantallen zijn gebaseerd op onze ervaringen met dit type experimenten in de afgelopen 5 jaar. Daarnaast worden dieren zoveel mogelijk hergebruikt voor de verschillende stappen binnen een beeldvormingsexperiment. </v>
      </c>
      <c r="C34" s="118" t="s">
        <v>4964</v>
      </c>
      <c r="D34" s="119"/>
      <c r="E34" s="119"/>
      <c r="F34" s="119"/>
      <c r="H34" s="35" t="str">
        <f>reduction_instr</f>
        <v>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v>
      </c>
      <c r="I34" s="30" t="str">
        <f>compulsory_field_tinstr&amp;" "&amp;maxLength_2500_tinstr</f>
        <v>Verplicht! Maximale lengte is 2500 tekens.</v>
      </c>
    </row>
    <row r="35" spans="1:9" x14ac:dyDescent="0.25">
      <c r="A35" s="5"/>
      <c r="B35" s="7"/>
      <c r="C35" s="131" t="str">
        <f>refinement_label</f>
        <v>3. Verfijning</v>
      </c>
      <c r="D35" s="131"/>
      <c r="E35" s="131"/>
      <c r="F35" s="131"/>
      <c r="G35" s="74" t="s">
        <v>550</v>
      </c>
    </row>
    <row r="36" spans="1:9" ht="127.5" customHeight="1" x14ac:dyDescent="0.25">
      <c r="A36" s="5" t="s">
        <v>164</v>
      </c>
      <c r="B36" s="15" t="str">
        <f>IF(TRIM(C36)="","",C36)</f>
        <v xml:space="preserve">Waar mogelijk zal het onderzoek in dit project worden gedaan op gezonde muizen en ratten, zodat ongerief door tumorgroei zoveel mogelijk voorkomen wordt. In de meeste gevallen zullen de dieren worden gedood voordat de maximaal toegestane tumorgrootte bereikt is, zodat ook hier ongerief wordt voorkomen. Alle beeldvormingstechnieken zullen worden uitgevoerd onder anesthesie. Rondom pijnlijke of operatieve ingrepen wordt pijnstilling toegepast.  </v>
      </c>
      <c r="C36" s="118" t="s">
        <v>4965</v>
      </c>
      <c r="D36" s="119"/>
      <c r="E36" s="119"/>
      <c r="F36" s="119"/>
      <c r="H36" s="35" t="str">
        <f>refinement_instr</f>
        <v>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v>
      </c>
      <c r="I36" s="30" t="str">
        <f>compulsory_field_tinstr&amp;" "&amp;maxLength_2500_tinstr</f>
        <v>Verplicht! Maximale lengte is 2500 tekens.</v>
      </c>
    </row>
    <row r="37" spans="1:9" x14ac:dyDescent="0.25">
      <c r="A37" s="5"/>
      <c r="B37" s="7"/>
      <c r="C37" s="117" t="str">
        <f>speciesChoiceExplanation_label</f>
        <v>Licht de keuze van de soorten en de bijbehorende levensstadia toe</v>
      </c>
      <c r="D37" s="117"/>
      <c r="E37" s="117"/>
      <c r="F37" s="117"/>
      <c r="G37" s="74" t="s">
        <v>550</v>
      </c>
    </row>
    <row r="38" spans="1:9" ht="127.5" customHeight="1" x14ac:dyDescent="0.25">
      <c r="A38" s="5" t="s">
        <v>165</v>
      </c>
      <c r="B38" s="15" t="str">
        <f>IF(TRIM(C38)="","",C38)</f>
        <v xml:space="preserve">Muizen worden bij voorkeur gebruikt voor kankeronderzoek, door de verscheidenheid aan beschikbare kankermodellen, en de vele technische mogelijkheden om genetische veranderingen aan te brengen. Alleen als een specifieke onderzoeksvraag niet beantwoord kan worden met behulp van een muismodel worden ratten ingezet. Een voorbeeld hiervan is het bestuderen van hormoon gevoelige borstkanker, een ziekte die in muizen niet goed kan worden nagebootst. 
Over het algemeen zullen jongvolwassen dieren worden gebruikt. Alleen als een specifieke onderzoeksvraag niet beantwoord kan worden met dieren uit deze leeftijdscategorie, zullen jongere of oudere dieren gebruikt worden. 
</v>
      </c>
      <c r="C38" s="118" t="s">
        <v>4967</v>
      </c>
      <c r="D38" s="119"/>
      <c r="E38" s="119"/>
      <c r="F38" s="119"/>
      <c r="H38" s="35"/>
      <c r="I38" s="30" t="str">
        <f>compulsory_field_tinstr&amp;" "&amp;maxLength_2500_tinstr</f>
        <v>Verplicht! Maximale lengte is 2500 tekens.</v>
      </c>
    </row>
    <row r="39" spans="1:9" ht="30" x14ac:dyDescent="0.25">
      <c r="A39" s="5"/>
      <c r="B39" s="7"/>
      <c r="C39" s="120" t="str">
        <f>project_selected_for_ra_label</f>
        <v>Voor een beoordeling achteraf geselecteerd project</v>
      </c>
      <c r="D39" s="120"/>
      <c r="E39" s="120"/>
      <c r="F39" s="120"/>
      <c r="G39" s="22"/>
      <c r="H39" s="35" t="str">
        <f>compulsory_field_for_some_tinstr</f>
        <v>Van toepassing op de lidstaten waar deze informatie krachtens de wetgeving vereist is</v>
      </c>
      <c r="I39" s="30" t="str">
        <f>to_be_filled_in_by_authority_mssg</f>
        <v>Door de bevoegde autoriteit in te vullen!</v>
      </c>
    </row>
    <row r="40" spans="1:9" x14ac:dyDescent="0.25">
      <c r="A40" s="5" t="s">
        <v>166</v>
      </c>
      <c r="B40" s="4" t="str">
        <f>IF(TRIM(D40)="","",VALUE(MID(D40,SEARCH("[", D40)+1,SEARCH("]",D40)-SEARCH("[",D40)-1)))</f>
        <v/>
      </c>
      <c r="C40" s="16" t="str">
        <f>raSelected_label</f>
        <v>Project geselecteerd voor BA?</v>
      </c>
      <c r="D40" s="19"/>
      <c r="E40" s="126" t="str">
        <f>IF((CONCATENATE(B41,B43,B44,B45,B47)&lt;&gt;"")*AND(B40&lt;&gt;1),inconsistent_value_mssg,"")</f>
        <v/>
      </c>
      <c r="F40" s="127"/>
      <c r="G40" s="74" t="str">
        <f t="shared" ref="G40" si="1">selection_for_RA</f>
        <v>*</v>
      </c>
      <c r="H40" s="35"/>
      <c r="I40" s="30" t="str">
        <f>IF(G40="*", compulsory_field_tinstr, "")</f>
        <v>Verplicht!</v>
      </c>
    </row>
    <row r="41" spans="1:9" x14ac:dyDescent="0.25">
      <c r="A41" s="5" t="s">
        <v>167</v>
      </c>
      <c r="B41" s="26" t="str">
        <f>IF(TRIM(D41)="","",D41)</f>
        <v/>
      </c>
      <c r="C41" s="16" t="str">
        <f>raDeadline_label</f>
        <v>Termijn voor BA</v>
      </c>
      <c r="D41" s="41"/>
      <c r="E41" s="116" t="s">
        <v>63</v>
      </c>
      <c r="F41" s="116"/>
      <c r="G41" s="75" t="str">
        <f>IF($B$40=1,"*","")</f>
        <v/>
      </c>
      <c r="H41" s="35"/>
      <c r="I41" s="30" t="str">
        <f>IF($B$40=1,compulsory_field_tinstr&amp;" "&amp;date_format_tinstr,"")</f>
        <v/>
      </c>
    </row>
    <row r="42" spans="1:9" x14ac:dyDescent="0.25">
      <c r="A42" s="5"/>
      <c r="B42" s="26"/>
      <c r="C42" s="143" t="str">
        <f>ra_reasons_label</f>
        <v>Reden voor de beoordeling achteraf</v>
      </c>
      <c r="D42" s="143"/>
      <c r="E42" s="129"/>
      <c r="F42" s="129"/>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44" t="str">
        <f>severeProcedure_label</f>
        <v>Bevat ernstige procedures</v>
      </c>
      <c r="E43" s="144"/>
      <c r="F43" s="19"/>
      <c r="G43" s="22"/>
    </row>
    <row r="44" spans="1:9" ht="14.25" customHeight="1" x14ac:dyDescent="0.25">
      <c r="A44" s="5" t="s">
        <v>169</v>
      </c>
      <c r="B44" s="6" t="str">
        <f t="shared" si="2"/>
        <v/>
      </c>
      <c r="C44" s="21"/>
      <c r="D44" s="128" t="str">
        <f>nhpUse_label</f>
        <v>Maakt gebruik van niet-menselijke primaten</v>
      </c>
      <c r="E44" s="128"/>
      <c r="F44" s="19" t="s">
        <v>6</v>
      </c>
      <c r="G44" s="22"/>
    </row>
    <row r="45" spans="1:9" x14ac:dyDescent="0.25">
      <c r="A45" s="5" t="s">
        <v>170</v>
      </c>
      <c r="B45" s="6" t="str">
        <f t="shared" si="2"/>
        <v/>
      </c>
      <c r="C45" s="28" t="str">
        <f>IF((B47&lt;&gt;"")*AND(B45&lt;&gt;1),inconsistent_value_mssg,"")</f>
        <v/>
      </c>
      <c r="D45" s="128" t="str">
        <f>other_label</f>
        <v>Andere reden</v>
      </c>
      <c r="E45" s="128"/>
      <c r="F45" s="19"/>
      <c r="G45" s="22"/>
    </row>
    <row r="46" spans="1:9" s="23" customFormat="1" x14ac:dyDescent="0.25">
      <c r="A46" s="5"/>
      <c r="B46" s="6"/>
      <c r="C46" s="122" t="str">
        <f>otherExplanation_label</f>
        <v>Toelichting van de andere reden voor de beoordeling achteraf</v>
      </c>
      <c r="D46" s="122"/>
      <c r="E46" s="122"/>
      <c r="F46" s="122"/>
      <c r="G46" s="22"/>
      <c r="H46" s="35"/>
      <c r="I46" s="30"/>
    </row>
    <row r="47" spans="1:9" ht="57.4" customHeight="1" x14ac:dyDescent="0.25">
      <c r="A47" s="5" t="s">
        <v>171</v>
      </c>
      <c r="B47" s="15" t="str">
        <f>IF(TRIM(C47)="","",C47)</f>
        <v/>
      </c>
      <c r="C47" s="124"/>
      <c r="D47" s="124"/>
      <c r="E47" s="124"/>
      <c r="F47" s="124"/>
      <c r="G47" s="75" t="str">
        <f>IF($B$45=1,"*","")</f>
        <v/>
      </c>
      <c r="I47" s="35" t="str">
        <f>IF(B45=1, compulsory_field_tinstr&amp;" "&amp;maxLength_500_tinstr, "")</f>
        <v/>
      </c>
    </row>
    <row r="48" spans="1:9" x14ac:dyDescent="0.25">
      <c r="C48" s="131" t="str">
        <f>additional_fields_title</f>
        <v>Aanvullende velden</v>
      </c>
      <c r="D48" s="131"/>
      <c r="E48" s="131"/>
      <c r="F48" s="131"/>
      <c r="I48" s="30" t="str">
        <f>additional_fields_tinstr</f>
        <v>Of het specifieke gebied al dan niet van toepassing is, hangt af van de nationale voorschriften.</v>
      </c>
    </row>
    <row r="49" spans="1:9" s="42" customFormat="1" ht="31.9" customHeight="1" x14ac:dyDescent="0.25">
      <c r="A49" s="5" t="s">
        <v>518</v>
      </c>
      <c r="B49" s="15" t="str">
        <f>IF(TRIM(D49)="","",D49)</f>
        <v/>
      </c>
      <c r="C49" s="43" t="str">
        <f>field1_label</f>
        <v>Nationaal veld 1</v>
      </c>
      <c r="D49" s="119"/>
      <c r="E49" s="119"/>
      <c r="F49" s="119"/>
      <c r="G49" s="10"/>
      <c r="H49" s="35"/>
      <c r="I49" s="30" t="str">
        <f>not_published_instr&amp;" "&amp;maxLength_2500_tinstr</f>
        <v>Veld wordt niet gepubliceerd. Maximale lengte is 2500 tekens.</v>
      </c>
    </row>
    <row r="50" spans="1:9" s="42" customFormat="1" ht="31.5" customHeight="1" x14ac:dyDescent="0.25">
      <c r="A50" s="5" t="s">
        <v>519</v>
      </c>
      <c r="B50" s="15" t="str">
        <f t="shared" ref="B50:B51" si="3">IF(TRIM(D50)="","",D50)</f>
        <v/>
      </c>
      <c r="C50" s="43" t="str">
        <f>field2_label</f>
        <v>Nationaal veld 2</v>
      </c>
      <c r="D50" s="119"/>
      <c r="E50" s="119"/>
      <c r="F50" s="119"/>
      <c r="G50" s="10"/>
      <c r="H50" s="35"/>
      <c r="I50" s="30" t="str">
        <f>not_published_instr&amp;" "&amp;maxLength_2500_tinstr</f>
        <v>Veld wordt niet gepubliceerd. Maximale lengte is 2500 tekens.</v>
      </c>
    </row>
    <row r="51" spans="1:9" s="42" customFormat="1" ht="30.4" customHeight="1" x14ac:dyDescent="0.25">
      <c r="A51" s="5" t="s">
        <v>520</v>
      </c>
      <c r="B51" s="15" t="str">
        <f t="shared" si="3"/>
        <v/>
      </c>
      <c r="C51" s="43" t="str">
        <f>field3_label</f>
        <v>Nationaal veld 3</v>
      </c>
      <c r="D51" s="119"/>
      <c r="E51" s="119"/>
      <c r="F51" s="119"/>
      <c r="G51" s="10"/>
      <c r="H51" s="35"/>
      <c r="I51" s="30" t="str">
        <f>not_published_instr&amp;" "&amp;maxLength_2500_tinstr</f>
        <v>Veld wordt niet gepubliceerd. Maximale lengte is 2500 tekens.</v>
      </c>
    </row>
    <row r="52" spans="1:9" s="50" customFormat="1" ht="30.4" customHeight="1" x14ac:dyDescent="0.25">
      <c r="A52" s="5" t="s">
        <v>521</v>
      </c>
      <c r="B52" s="15" t="str">
        <f t="shared" ref="B52:B53" si="4">IF(TRIM(D52)="","",D52)</f>
        <v/>
      </c>
      <c r="C52" s="51" t="str">
        <f>field4_label</f>
        <v>Nationaal veld 4</v>
      </c>
      <c r="D52" s="119"/>
      <c r="E52" s="119"/>
      <c r="F52" s="119"/>
      <c r="G52" s="10"/>
      <c r="H52" s="35"/>
      <c r="I52" s="30" t="str">
        <f>not_published_instr&amp;" "&amp;maxLength_2500_tinstr</f>
        <v>Veld wordt niet gepubliceerd. Maximale lengte is 2500 tekens.</v>
      </c>
    </row>
    <row r="53" spans="1:9" s="50" customFormat="1" ht="30.4" customHeight="1" x14ac:dyDescent="0.25">
      <c r="A53" s="5" t="s">
        <v>522</v>
      </c>
      <c r="B53" s="15" t="str">
        <f t="shared" si="4"/>
        <v/>
      </c>
      <c r="C53" s="51" t="str">
        <f>field5_label</f>
        <v>Nationaal veld 5</v>
      </c>
      <c r="D53" s="119"/>
      <c r="E53" s="119"/>
      <c r="F53" s="119"/>
      <c r="G53" s="10"/>
      <c r="H53" s="35"/>
      <c r="I53" s="30" t="str">
        <f>not_published_instr&amp;" "&amp;maxLength_2500_tinstr</f>
        <v>Veld wordt niet gepubliceerd. Maximale lengte is 2500 tekens.</v>
      </c>
    </row>
    <row r="54" spans="1:9" s="42" customFormat="1" x14ac:dyDescent="0.25">
      <c r="A54" s="5" t="s">
        <v>523</v>
      </c>
      <c r="B54" s="26" t="str">
        <f>IF(TRIM(D54)="","",D54)</f>
        <v/>
      </c>
      <c r="C54" s="43" t="str">
        <f>projectStartDate_label</f>
        <v>Startdatum project</v>
      </c>
      <c r="D54" s="41"/>
      <c r="E54" s="116" t="s">
        <v>63</v>
      </c>
      <c r="F54" s="116"/>
      <c r="G54" s="22" t="str">
        <f>project_start_end_date</f>
        <v/>
      </c>
      <c r="H54" s="35"/>
      <c r="I54" s="30" t="str">
        <f>not_published_instr&amp;" "&amp;date_format_tinstr</f>
        <v>Veld wordt niet gepubliceerd. Formaat dd-mm-jjjj of dd/mm/jjjj afhankelijk van uw systeeminstellingen (bv. 27-05-2022 of 27/05/2022)</v>
      </c>
    </row>
    <row r="55" spans="1:9" s="42" customFormat="1" x14ac:dyDescent="0.25">
      <c r="A55" s="5" t="s">
        <v>524</v>
      </c>
      <c r="B55" s="26" t="str">
        <f>IF(TRIM(D55)="","",D55)</f>
        <v/>
      </c>
      <c r="C55" s="43" t="str">
        <f>projectEndDate_label</f>
        <v>Einddatum project</v>
      </c>
      <c r="D55" s="41"/>
      <c r="E55" s="116" t="s">
        <v>63</v>
      </c>
      <c r="F55" s="116"/>
      <c r="G55" s="22" t="str">
        <f>project_start_end_date</f>
        <v/>
      </c>
      <c r="H55" s="35"/>
      <c r="I55" s="30" t="str">
        <f>not_published_instr&amp;" "&amp;date_format_tinstr</f>
        <v>Veld wordt niet gepubliceerd. Formaat dd-mm-jjjj of dd/mm/jjjj afhankelijk van uw systeeminstellingen (bv. 27-05-2022 of 27/05/2022)</v>
      </c>
    </row>
    <row r="56" spans="1:9" s="42" customFormat="1" x14ac:dyDescent="0.25">
      <c r="A56" s="5" t="s">
        <v>525</v>
      </c>
      <c r="B56" s="26" t="str">
        <f>IF(TRIM(D56)="","",D56)</f>
        <v/>
      </c>
      <c r="C56" s="43" t="str">
        <f>projectApprovalDate_label</f>
        <v>Goedkeuringsdatum project</v>
      </c>
      <c r="D56" s="41"/>
      <c r="E56" s="116" t="s">
        <v>63</v>
      </c>
      <c r="F56" s="116"/>
      <c r="G56" s="22" t="str">
        <f>project_approval_date</f>
        <v/>
      </c>
      <c r="H56" s="35"/>
      <c r="I56" s="30" t="str">
        <f>not_published_instr&amp;" "&amp;to_be_filled_in_by_authority_mssg&amp;" "&amp;date_format_tinstr</f>
        <v>Veld wordt niet gepubliceerd. Door de bevoegde autoriteit in te vullen! Formaat dd-mm-jjjj of dd/mm/jjjj afhankelijk van uw systeeminstellingen (bv. 27-05-2022 of 27/05/2022)</v>
      </c>
    </row>
    <row r="57" spans="1:9" s="42" customFormat="1" x14ac:dyDescent="0.25">
      <c r="A57" s="5" t="s">
        <v>526</v>
      </c>
      <c r="B57" s="7" t="str">
        <f>IF(TRIM(D57)="","",D57)</f>
        <v/>
      </c>
      <c r="C57" s="43" t="str">
        <f>ICD_code_label &amp; " 1"</f>
        <v>ICD-code 1</v>
      </c>
      <c r="D57" s="73"/>
      <c r="E57" s="116" t="s">
        <v>63</v>
      </c>
      <c r="F57" s="116"/>
      <c r="G57" s="22"/>
      <c r="H57" s="35"/>
      <c r="I57" s="30" t="str">
        <f>not_published_instr&amp;" "&amp;ICD_code_instr&amp;" "&amp;ICD_code_tinstr</f>
        <v>Veld wordt niet gepubliceerd. Code internationale classificatie van ziekten (ICD). Tot een nauwkeurigheid van een code van 4 tekens.</v>
      </c>
    </row>
    <row r="58" spans="1:9" x14ac:dyDescent="0.25">
      <c r="A58" s="5" t="s">
        <v>527</v>
      </c>
      <c r="B58" s="7" t="str">
        <f t="shared" ref="B58:B60" si="5">IF(TRIM(D58)="","",D58)</f>
        <v/>
      </c>
      <c r="C58" s="70" t="str">
        <f>ICD_code_label &amp; " 2"</f>
        <v>ICD-code 2</v>
      </c>
      <c r="D58" s="73"/>
      <c r="E58" s="116" t="s">
        <v>63</v>
      </c>
      <c r="F58" s="116"/>
      <c r="G58" s="22"/>
      <c r="H58" s="35"/>
      <c r="I58" s="30" t="str">
        <f>not_published_instr&amp;" "&amp;ICD_code_instr&amp;" "&amp;ICD_code_tinstr</f>
        <v>Veld wordt niet gepubliceerd. Code internationale classificatie van ziekten (ICD). Tot een nauwkeurigheid van een code van 4 tekens.</v>
      </c>
    </row>
    <row r="59" spans="1:9" x14ac:dyDescent="0.25">
      <c r="A59" s="5" t="s">
        <v>528</v>
      </c>
      <c r="B59" s="7" t="str">
        <f t="shared" si="5"/>
        <v/>
      </c>
      <c r="C59" s="70" t="str">
        <f>ICD_code_label &amp; " 3"</f>
        <v>ICD-code 3</v>
      </c>
      <c r="D59" s="73"/>
      <c r="E59" s="116" t="s">
        <v>63</v>
      </c>
      <c r="F59" s="116"/>
      <c r="G59" s="22"/>
      <c r="H59" s="35"/>
      <c r="I59" s="30" t="str">
        <f>not_published_instr&amp;" "&amp;ICD_code_instr&amp;" "&amp;ICD_code_tinstr</f>
        <v>Veld wordt niet gepubliceerd. Code internationale classificatie van ziekten (ICD). Tot een nauwkeurigheid van een code van 4 tekens.</v>
      </c>
    </row>
    <row r="60" spans="1:9" ht="28.9" customHeight="1" x14ac:dyDescent="0.25">
      <c r="A60" s="5" t="s">
        <v>532</v>
      </c>
      <c r="B60" s="15" t="str">
        <f t="shared" si="5"/>
        <v/>
      </c>
      <c r="C60" s="72" t="str">
        <f>ntsPreviousVersionExternalLink_label</f>
        <v>Link naar de eerdere versie van de NTS buiten het EC-systeem</v>
      </c>
      <c r="D60" s="123"/>
      <c r="E60" s="123"/>
      <c r="F60" s="123"/>
      <c r="H60" s="35"/>
      <c r="I60" s="30" t="str">
        <f>ntsPreviousVersionExternalLink_instr&amp;" "&amp;maxLength_500_tinstr</f>
        <v>Te gebruiken in de overgangsperiode waarin de vorige versie van de NTS mogelijk niet in het EC-systeem bestaat. Maximale lengte is 500 tekens.</v>
      </c>
    </row>
  </sheetData>
  <sheetProtection algorithmName="SHA-512" hashValue="uDRICOBZCuVnYo1zba7I+lEJCMUj7Q3r9qPhw/PKfmXJtluuqwrFNbJg4N634cYqvA7GIesGIR4ciVvmBpplqg==" saltValue="P7ElXQfm8iQ58E/p0Ibm1g==" spinCount="100000" sheet="1" selectLockedCells="1"/>
  <mergeCells count="59">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 ref="C21:G21"/>
    <mergeCell ref="C23:F23"/>
    <mergeCell ref="C28:F28"/>
    <mergeCell ref="C29:F29"/>
    <mergeCell ref="C30:G30"/>
    <mergeCell ref="C1:F1"/>
    <mergeCell ref="E8:F8"/>
    <mergeCell ref="D5:F5"/>
    <mergeCell ref="E2:F4"/>
    <mergeCell ref="D6:E6"/>
    <mergeCell ref="D7:F7"/>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7" sqref="A7"/>
    </sheetView>
  </sheetViews>
  <sheetFormatPr defaultRowHeight="15" x14ac:dyDescent="0.25"/>
  <cols>
    <col min="1" max="1" width="108.28515625" customWidth="1"/>
  </cols>
  <sheetData>
    <row r="1" spans="1:1" ht="23.25" x14ac:dyDescent="0.25">
      <c r="A1" s="36" t="str">
        <f>projectPurposes_label</f>
        <v>Doel(en) van het project</v>
      </c>
    </row>
    <row r="2" spans="1:1" ht="15" hidden="1" customHeight="1" x14ac:dyDescent="0.25">
      <c r="A2" s="33" t="s">
        <v>491</v>
      </c>
    </row>
    <row r="3" spans="1:1" x14ac:dyDescent="0.25">
      <c r="A3" s="8" t="s">
        <v>4968</v>
      </c>
    </row>
    <row r="4" spans="1:1" x14ac:dyDescent="0.25">
      <c r="A4" s="8" t="s">
        <v>4969</v>
      </c>
    </row>
    <row r="5" spans="1:1" x14ac:dyDescent="0.25">
      <c r="A5" s="8" t="s">
        <v>4970</v>
      </c>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E6" sqref="E6"/>
    </sheetView>
  </sheetViews>
  <sheetFormatPr defaultColWidth="9" defaultRowHeight="15" x14ac:dyDescent="0.25"/>
  <cols>
    <col min="1" max="1" width="68" style="40" customWidth="1"/>
    <col min="2" max="2" width="16.5703125" style="40" customWidth="1"/>
    <col min="3" max="3" width="15" style="40" customWidth="1"/>
    <col min="4" max="4" width="14.5703125" style="9" customWidth="1"/>
    <col min="5" max="5" width="14.28515625" style="9" customWidth="1"/>
    <col min="6" max="6" width="18.28515625" style="9" hidden="1" customWidth="1"/>
    <col min="7" max="7" width="32.85546875" style="34" customWidth="1"/>
    <col min="8" max="8" width="54.28515625" style="9" customWidth="1"/>
    <col min="9" max="16384" width="9" style="9"/>
  </cols>
  <sheetData>
    <row r="1" spans="1:8" ht="29.25" customHeight="1" thickBot="1" x14ac:dyDescent="0.4">
      <c r="A1" s="36" t="str">
        <f>expectedHarms_label</f>
        <v>Verwachte schade</v>
      </c>
      <c r="B1" s="145" t="str">
        <f>numbers_per_severity_label</f>
        <v>Geraamde aantallen naar ernstgraad</v>
      </c>
      <c r="C1" s="145"/>
      <c r="D1" s="145"/>
      <c r="E1" s="145"/>
      <c r="F1" s="71"/>
      <c r="G1" s="37"/>
    </row>
    <row r="2" spans="1:8" ht="75" customHeight="1" thickBot="1" x14ac:dyDescent="0.3">
      <c r="A2" s="108" t="str">
        <f>species_label</f>
        <v>Soort:</v>
      </c>
      <c r="B2" s="109" t="str">
        <f>nonRecovery_label</f>
        <v>Terminaal</v>
      </c>
      <c r="C2" s="109" t="str">
        <f>mild_label</f>
        <v>Licht</v>
      </c>
      <c r="D2" s="109" t="str">
        <f>moderate_label</f>
        <v>Matig</v>
      </c>
      <c r="E2" s="109" t="str">
        <f>severe_label</f>
        <v>Ernstig</v>
      </c>
      <c r="F2" s="109" t="str">
        <f>custom_severity_label</f>
        <v>Andere, door de lidstaat gekozen ernstgraad</v>
      </c>
    </row>
    <row r="3" spans="1:8" ht="13.5" hidden="1" customHeight="1" x14ac:dyDescent="0.25">
      <c r="A3" s="33" t="s">
        <v>179</v>
      </c>
      <c r="B3" s="39" t="s">
        <v>180</v>
      </c>
      <c r="C3" s="39" t="s">
        <v>181</v>
      </c>
      <c r="D3" s="39" t="s">
        <v>182</v>
      </c>
      <c r="E3" s="39" t="s">
        <v>183</v>
      </c>
      <c r="F3" s="39" t="s">
        <v>546</v>
      </c>
    </row>
    <row r="4" spans="1:8" x14ac:dyDescent="0.25">
      <c r="A4" s="8" t="s">
        <v>4971</v>
      </c>
      <c r="B4" s="31">
        <v>150</v>
      </c>
      <c r="C4" s="1">
        <v>425</v>
      </c>
      <c r="D4" s="1">
        <v>425</v>
      </c>
      <c r="E4" s="1">
        <v>0</v>
      </c>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25">
      <c r="A5" s="8" t="s">
        <v>4972</v>
      </c>
      <c r="B5" s="31">
        <v>20</v>
      </c>
      <c r="C5" s="1">
        <v>92</v>
      </c>
      <c r="D5" s="1">
        <v>88</v>
      </c>
      <c r="E5" s="1">
        <v>0</v>
      </c>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D8" sqref="D8"/>
    </sheetView>
  </sheetViews>
  <sheetFormatPr defaultColWidth="9" defaultRowHeight="15" x14ac:dyDescent="0.25"/>
  <cols>
    <col min="1" max="1" width="67.42578125" style="9" customWidth="1"/>
    <col min="2" max="4" width="20.7109375" style="9" customWidth="1"/>
    <col min="5" max="5" width="37.85546875" style="9" customWidth="1"/>
    <col min="6" max="6" width="65.28515625" style="9" customWidth="1"/>
    <col min="7" max="16384" width="9" style="9"/>
  </cols>
  <sheetData>
    <row r="1" spans="1:6" ht="43.5" customHeight="1" x14ac:dyDescent="0.35">
      <c r="A1" s="110" t="str">
        <f>fateList_label</f>
        <v>Lot van in leven gehouden dieren</v>
      </c>
      <c r="B1" s="146" t="str">
        <f>numbers_per_fate_label</f>
        <v>Geraamd aantal te hergebruiken, in het habitat-/houderijsysteem terug te plaatsen of voor adoptie vrij te geven dieren</v>
      </c>
      <c r="C1" s="146"/>
      <c r="D1" s="146"/>
      <c r="E1" s="37"/>
    </row>
    <row r="2" spans="1:6" ht="44.25" customHeight="1" thickBot="1" x14ac:dyDescent="0.3">
      <c r="A2" s="38" t="str">
        <f>species_label</f>
        <v>Soort:</v>
      </c>
      <c r="B2" s="109" t="str">
        <f>reused_label</f>
        <v>Hergebruikt</v>
      </c>
      <c r="C2" s="109" t="str">
        <f>returned_label</f>
        <v>Teruggeplaatst</v>
      </c>
      <c r="D2" s="109" t="str">
        <f>rehomed_label</f>
        <v>Geadopteerd</v>
      </c>
    </row>
    <row r="3" spans="1:6" ht="15.4" hidden="1" customHeight="1" x14ac:dyDescent="0.25">
      <c r="A3" s="9" t="s">
        <v>179</v>
      </c>
      <c r="B3" s="9" t="s">
        <v>315</v>
      </c>
      <c r="C3" s="9" t="s">
        <v>316</v>
      </c>
      <c r="D3" s="9" t="s">
        <v>317</v>
      </c>
    </row>
    <row r="4" spans="1:6" x14ac:dyDescent="0.25">
      <c r="A4" s="8" t="s">
        <v>4971</v>
      </c>
      <c r="B4" s="1">
        <v>0</v>
      </c>
      <c r="C4" s="1">
        <v>0</v>
      </c>
      <c r="D4" s="1">
        <v>0</v>
      </c>
      <c r="E4" s="34" t="str">
        <f>IF(AND(fate_of_animals[[#This Row],[xs:species]]&lt;&gt;"",SUM(fate_of_animals[[#This Row],[xs:reused]:[xs:rehomed]])=0),total_number_mssg,IF(AND(fate_of_animals[[#This Row],[xs:species]]="",SUM(fate_of_animals[[#This Row],[xs:reused]:[xs:rehomed]])&gt;0),select_species_mssg,""))</f>
        <v>Totale aantal moet hoger zijn dan 0!</v>
      </c>
      <c r="F4" s="34" t="str">
        <f>IF(AND(fate_of_animals[[#This Row],[xs:species]]&lt;&gt;"",OR(fate_of_animals[[#This Row],[xs:reused]]="",fate_of_animals[[#This Row],[xs:returned]]="",fate_of_animals[[#This Row],[xs:rehomed]]="")),fill_all_cells_mssg,"")</f>
        <v/>
      </c>
    </row>
    <row r="5" spans="1:6" x14ac:dyDescent="0.25">
      <c r="A5" s="8" t="s">
        <v>4972</v>
      </c>
      <c r="B5" s="1">
        <v>0</v>
      </c>
      <c r="C5" s="1">
        <v>0</v>
      </c>
      <c r="D5" s="1">
        <v>0</v>
      </c>
      <c r="E5" s="34" t="str">
        <f>IF(AND(fate_of_animals[[#This Row],[xs:species]]&lt;&gt;"",SUM(fate_of_animals[[#This Row],[xs:reused]:[xs:rehomed]])=0),total_number_mssg,IF(AND(fate_of_animals[[#This Row],[xs:species]]="",SUM(fate_of_animals[[#This Row],[xs:reused]:[xs:rehomed]])&gt;0),select_species_mssg,""))</f>
        <v>Totale aantal moet hoger zijn dan 0!</v>
      </c>
      <c r="F5" s="34" t="str">
        <f>IF(AND(fate_of_animals[[#This Row],[xs:species]]&lt;&gt;"",OR(fate_of_animals[[#This Row],[xs:reused]]="",fate_of_animals[[#This Row],[xs:returned]]="",fate_of_animals[[#This Row],[xs:rehomed]]="")),fill_all_cells_mssg,"")</f>
        <v/>
      </c>
    </row>
    <row r="6" spans="1:6"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defaultColWidth="9"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Fundamenteel onderzoek</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Omzettinggericht en toegepast onderzoek</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Gebruik op grond van regelgeving en voor routineproductie</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Bescherming van het milieu in het belang van de gezondheid of het welzijn van mens of dier</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Behoud van de soort</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Hoger onderwijs</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Opleiding voor het verwerven, op peil houden of verbeteren van beroepsvaardigheden</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Forensisch onderzoek</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Instandhouding van kolonies van bestendig genetisch gewijzigde dieren, niet gebruikt in andere procedures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Geen EU-doelstelling</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75" thickBot="1" x14ac:dyDescent="0.3">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Oncologie</v>
      </c>
      <c r="C17" s="9" t="str">
        <f>CONCATENATE(B$5,": ",B17," [",A17,"]")</f>
        <v>Fundamenteel onderzoek: Oncologie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Cardiovasculair, bloed- en lymfestelsel</v>
      </c>
      <c r="C18" s="9" t="str">
        <f t="shared" ref="C18:C30" si="5">CONCATENATE(B$5,": ",B18," [",A18,"]")</f>
        <v>Fundamenteel onderzoek: Cardiovasculair, bloed- en lymfestelsel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Zenuwstelsel</v>
      </c>
      <c r="C19" s="9" t="str">
        <f t="shared" si="5"/>
        <v>Fundamenteel onderzoek: Zenuwstelsel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Luchtwegenstelsel</v>
      </c>
      <c r="C20" s="9" t="str">
        <f t="shared" si="5"/>
        <v>Fundamenteel onderzoek: Luchtwegenstelsel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Gastro-intestinaal stelsel met inbegrip van de lever</v>
      </c>
      <c r="C21" s="9" t="str">
        <f t="shared" si="5"/>
        <v>Fundamenteel onderzoek: Gastro-intestinaal stelsel met inbegrip van de lever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Spier- en skeletstelsel</v>
      </c>
      <c r="C22" s="9" t="str">
        <f t="shared" si="5"/>
        <v>Fundamenteel onderzoek: Spier- en skeletstelsel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Immuunstelsel</v>
      </c>
      <c r="C23" s="9" t="str">
        <f t="shared" si="5"/>
        <v>Fundamenteel onderzoek: Immuunstelsel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Urogenitaal / voortplantingsstelsel</v>
      </c>
      <c r="C24" s="9" t="str">
        <f t="shared" si="5"/>
        <v>Fundamenteel onderzoek: Urogenitaal / voortplantingsstelsel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Zintuigorganen (huid, ogen en oren)</v>
      </c>
      <c r="C25" s="9" t="str">
        <f t="shared" si="5"/>
        <v>Fundamenteel onderzoek: Zintuigorganen (huid, ogen en oren)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Endocrien stelsel / metabolisme</v>
      </c>
      <c r="C26" s="9" t="str">
        <f t="shared" si="5"/>
        <v>Fundamenteel onderzoek: Endocrien stelsel / metabolisme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Ontwikkelingsbiologie</v>
      </c>
      <c r="C27" s="9" t="str">
        <f t="shared" si="5"/>
        <v>Fundamenteel onderzoek: Ontwikkelingsbiologie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Multisystemisch</v>
      </c>
      <c r="C28" s="9" t="str">
        <f t="shared" si="5"/>
        <v>Fundamenteel onderzoek: Multisystemisch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Ethologie/diergedrag/dierbiologie</v>
      </c>
      <c r="C29" s="9" t="str">
        <f t="shared" si="5"/>
        <v>Fundamenteel onderzoek: Ethologie/diergedrag/dierbiologie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Ander fundamenteel onderzoek</v>
      </c>
      <c r="C30" s="9" t="str">
        <f t="shared" si="5"/>
        <v>Fundamenteel onderzoek: Ander fundamenteel onderzoek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Kanker bij de mens</v>
      </c>
      <c r="C31" s="9" t="str">
        <f>CONCATENATE(B$6,": ",B31," [",A31,"]")</f>
        <v>Omzettinggericht en toegepast onderzoek: Kanker bij de mens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Besmettelijke ziekten van de mens</v>
      </c>
      <c r="C32" s="9" t="str">
        <f t="shared" ref="C32:C48" si="6">CONCATENATE(B$6,": ",B32," [",A32,"]")</f>
        <v>Omzettinggericht en toegepast onderzoek: Besmettelijke ziekten van de mens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Cardiovasculaire aandoeningen bij de mens</v>
      </c>
      <c r="C33" s="9" t="str">
        <f t="shared" si="6"/>
        <v>Omzettinggericht en toegepast onderzoek: Cardiovasculaire aandoeningen bij de mens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Zenuwziekten en psychische aandoeningen van de mens</v>
      </c>
      <c r="C34" s="9" t="str">
        <f t="shared" si="6"/>
        <v>Omzettinggericht en toegepast onderzoek: Zenuwziekten en psychische aandoeningen van de mens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Respiratoire aandoeningen bij de mens</v>
      </c>
      <c r="C35" s="9" t="str">
        <f t="shared" si="6"/>
        <v>Omzettinggericht en toegepast onderzoek: Respiratoire aandoeningen bij de mens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Gastro-intestinale en leveraandoeningen bij de mens</v>
      </c>
      <c r="C36" s="9" t="str">
        <f t="shared" si="6"/>
        <v>Omzettinggericht en toegepast onderzoek: Gastro-intestinale en leveraandoeningen bij de mens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Spier- en botaandoeningen bij de mens</v>
      </c>
      <c r="C37" s="9" t="str">
        <f t="shared" si="6"/>
        <v>Omzettinggericht en toegepast onderzoek: Spier- en botaandoeningen bij de mens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Verstoringen van het immuunstelsel bij de mens</v>
      </c>
      <c r="C38" s="9" t="str">
        <f t="shared" si="6"/>
        <v>Omzettinggericht en toegepast onderzoek: Verstoringen van het immuunstelsel bij de mens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Aandoeningen van het urogenitaal / voortplantingsstelsel bij de mens</v>
      </c>
      <c r="C39" s="9" t="str">
        <f t="shared" si="6"/>
        <v>Omzettinggericht en toegepast onderzoek: Aandoeningen van het urogenitaal / voortplantingsstelsel bij de mens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Aandoeningen van zintuigorganen (huid, ogen en oren) bij de mens</v>
      </c>
      <c r="C40" s="9" t="str">
        <f t="shared" si="6"/>
        <v>Omzettinggericht en toegepast onderzoek: Aandoeningen van zintuigorganen (huid, ogen en oren) bij de mens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Endocriene en metabolismestoringen bij de mens</v>
      </c>
      <c r="C41" s="9" t="str">
        <f t="shared" si="6"/>
        <v>Omzettinggericht en toegepast onderzoek: Endocriene en metabolismestoringen bij de mens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Andere aandoeningen van de mens</v>
      </c>
      <c r="C42" s="9" t="str">
        <f t="shared" si="6"/>
        <v>Omzettinggericht en toegepast onderzoek: Andere aandoeningen van de mens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Ziekten en aandoeningen van dieren</v>
      </c>
      <c r="C43" s="9" t="str">
        <f t="shared" si="6"/>
        <v>Omzettinggericht en toegepast onderzoek: Ziekten en aandoeningen van dieren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Diervoeding</v>
      </c>
      <c r="C44" s="9" t="str">
        <f t="shared" si="6"/>
        <v>Omzettinggericht en toegepast onderzoek: Diervoeding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Dierenwelzijn</v>
      </c>
      <c r="C45" s="9" t="str">
        <f t="shared" si="6"/>
        <v>Omzettinggericht en toegepast onderzoek: Dierenwelzijn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Diagnose van ziekten</v>
      </c>
      <c r="C46" s="9" t="str">
        <f t="shared" si="6"/>
        <v>Omzettinggericht en toegepast onderzoek: Diagnose van ziekten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Plantenziekten</v>
      </c>
      <c r="C47" s="9" t="str">
        <f t="shared" si="6"/>
        <v>Omzettinggericht en toegepast onderzoek: Plantenziekten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Niet op grond van regelgeving vereist toxicologisch en ecotoxicologisch onderzoek</v>
      </c>
      <c r="C48" s="9" t="str">
        <f t="shared" si="6"/>
        <v>Omzettinggericht en toegepast onderzoek: Niet op grond van regelgeving vereist toxicologisch en ecotoxicologisch onderzoek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Kwaliteitscontrole (met inbegrip van tests van de veiligheid en werkzaamheid van charges)</v>
      </c>
      <c r="C49" s="9" t="str">
        <f>CONCATENATE(B$7,": ",B49," [",A49,"]")</f>
        <v>Gebruik op grond van regelgeving en voor routineproductie: Kwaliteitscontrole (met inbegrip van tests van de veiligheid en werkzaamheid van charges)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Andere doeltreffendheids- en tolerantietests</v>
      </c>
      <c r="C50" s="9" t="str">
        <f t="shared" ref="C50:C52" si="7">CONCATENATE(B$7,": ",B50," [",A50,"]")</f>
        <v>Gebruik op grond van regelgeving en voor routineproductie: Andere doeltreffendheids- en tolerantietests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Toxiciteits- en andere veiligheidstests met inbegrip van farmacologie</v>
      </c>
      <c r="C51" s="9" t="str">
        <f t="shared" si="7"/>
        <v>Gebruik op grond van regelgeving en voor routineproductie: Toxiciteits- en andere veiligheidstests met inbegrip van farmacologie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Routineproductie, uitgesplitst naar producttype</v>
      </c>
      <c r="C52" s="9" t="str">
        <f t="shared" si="7"/>
        <v>Gebruik op grond van regelgeving en voor routineproductie: Routineproductie, uitgesplitst naar producttype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Bescherming van het milieu in het belang van de gezondheid of het welzijn van mens of dier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Behoud van de soort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Hoger onderwijs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Opleiding voor het verwerven, op peil houden of verbeteren van beroepsvaardigheden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Forensisch onderzoek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Instandhouding van kolonies van bestendig genetisch gewijzigde dieren, niet gebruikt in andere procedures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Geen EU-doelstelling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ja</v>
      </c>
      <c r="C63" s="9" t="str">
        <f>CONCATENATE(B63," ","[",A63,"]")</f>
        <v>ja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nee</v>
      </c>
      <c r="C64" s="9" t="str">
        <f>CONCATENATE(B64," ","[",A64,"]")</f>
        <v>nee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Muizen</v>
      </c>
      <c r="C67" s="52" t="str">
        <f>CONCATENATE(B67," (",AC67,") ","[",A67,"]")</f>
        <v>Muizen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Ratten</v>
      </c>
      <c r="C68" s="52" t="str">
        <f t="shared" ref="C68:C107" si="11">CONCATENATE(B68," (",AC68,") ","[",A68,"]")</f>
        <v>Ratten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Cavia’s</v>
      </c>
      <c r="C69" s="52" t="str">
        <f t="shared" si="11"/>
        <v>Cavia’s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Syrische goudhamsters</v>
      </c>
      <c r="C70" s="52" t="str">
        <f t="shared" si="11"/>
        <v>Syrische goudhamsters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Chinese dwerghamsters</v>
      </c>
      <c r="C71" s="52" t="str">
        <f t="shared" si="11"/>
        <v>Chinese dwerghamsters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Mongoolse gerbils</v>
      </c>
      <c r="C72" s="52" t="str">
        <f t="shared" si="11"/>
        <v>Mongoolse gerbils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Andere knaagdieren</v>
      </c>
      <c r="C73" s="52" t="str">
        <f t="shared" si="11"/>
        <v>Andere knaagdieren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Konijnen</v>
      </c>
      <c r="C74" s="52" t="str">
        <f t="shared" si="11"/>
        <v>Konijnen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Katten</v>
      </c>
      <c r="C75" s="52" t="str">
        <f t="shared" si="11"/>
        <v>Katten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Honden</v>
      </c>
      <c r="C76" s="52" t="str">
        <f t="shared" si="11"/>
        <v>Honden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Fretten</v>
      </c>
      <c r="C77" s="52" t="str">
        <f t="shared" si="11"/>
        <v>Fretten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Andere roofdieren</v>
      </c>
      <c r="C78" s="52" t="str">
        <f t="shared" si="11"/>
        <v>Andere roofdieren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Paarden, ezels en kruisingen daarvan</v>
      </c>
      <c r="C79" s="52" t="str">
        <f t="shared" si="11"/>
        <v>Paarden, ezels en kruisingen daarvan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Varkens</v>
      </c>
      <c r="C80" s="52" t="str">
        <f t="shared" si="11"/>
        <v>Varkens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Geiten</v>
      </c>
      <c r="C81" s="52" t="str">
        <f t="shared" si="11"/>
        <v>Geiten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Schapen</v>
      </c>
      <c r="C82" s="52" t="str">
        <f t="shared" si="11"/>
        <v>Schapen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Runderen</v>
      </c>
      <c r="C83" s="52" t="str">
        <f t="shared" si="11"/>
        <v>Runderen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Halfapen</v>
      </c>
      <c r="C84" s="52" t="str">
        <f t="shared" si="11"/>
        <v>Halfapen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Klauwaapjes</v>
      </c>
      <c r="C85" s="52" t="str">
        <f t="shared" si="11"/>
        <v>Klauwaapjes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Java-apen</v>
      </c>
      <c r="C86" s="52" t="str">
        <f t="shared" si="11"/>
        <v>Java-apen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Rhesusapen</v>
      </c>
      <c r="C87" s="52" t="str">
        <f t="shared" si="11"/>
        <v>Rhesusapen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Meerkatten (Chlorocebus spp.)</v>
      </c>
      <c r="C88" s="52" t="str">
        <f t="shared" si="11"/>
        <v>Meerkatten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Bavianen (Papio spp.)</v>
      </c>
      <c r="C89" s="52" t="str">
        <f t="shared" si="11"/>
        <v>Bavianen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Doodshoofdaapjes</v>
      </c>
      <c r="C90" s="52" t="str">
        <f t="shared" si="11"/>
        <v>Doodshoofdaapjes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 xml:space="preserve">Andere soorten breedneusapen </v>
      </c>
      <c r="C91" s="52" t="str">
        <f t="shared" si="11"/>
        <v>Andere soorten breedneusapen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Andere soorten smalneusapen</v>
      </c>
      <c r="C92" s="52" t="str">
        <f t="shared" si="11"/>
        <v>Andere soorten smalneusapen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Mensapen</v>
      </c>
      <c r="C93" s="52" t="str">
        <f t="shared" si="11"/>
        <v>Mensapen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Andere zoogdieren</v>
      </c>
      <c r="C94" s="52" t="str">
        <f t="shared" si="11"/>
        <v>Andere zoogdieren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Huishoenders</v>
      </c>
      <c r="C95" s="52" t="str">
        <f t="shared" si="11"/>
        <v>Huishoenders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Kalkoenen</v>
      </c>
      <c r="C96" s="52" t="str">
        <f t="shared" si="11"/>
        <v>Kalkoenen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Andere vogels</v>
      </c>
      <c r="C97" s="52" t="str">
        <f t="shared" si="11"/>
        <v>Andere vogels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Reptielen</v>
      </c>
      <c r="C98" s="52" t="str">
        <f t="shared" si="11"/>
        <v>Reptielen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Kikkers</v>
      </c>
      <c r="C99" s="52" t="str">
        <f t="shared" si="11"/>
        <v>Kikkers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Klauwkikkers</v>
      </c>
      <c r="C100" s="52" t="str">
        <f t="shared" si="11"/>
        <v>Klauwkikkers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Andere amfibieën</v>
      </c>
      <c r="C101" s="52" t="str">
        <f t="shared" si="11"/>
        <v>Andere amfibieën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Zebravissen</v>
      </c>
      <c r="C102" s="52" t="str">
        <f t="shared" si="11"/>
        <v>Zebravissen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Zeebaars</v>
      </c>
      <c r="C103" s="52" t="str">
        <f t="shared" si="11"/>
        <v>Zeebaars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Zalm, forel, riddervis en vlagzalm</v>
      </c>
      <c r="C104" s="52" t="str">
        <f t="shared" si="11"/>
        <v>Zalm, forel, riddervis en vlagzalm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Guppy, zwaarddrager, mollie, plaatje</v>
      </c>
      <c r="C105" s="52" t="str">
        <f t="shared" si="11"/>
        <v>Guppy, zwaarddrager, mollie, plaatje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Andere vissen</v>
      </c>
      <c r="C106" s="52" t="str">
        <f t="shared" si="11"/>
        <v>Andere vissen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Koppotigen</v>
      </c>
      <c r="C107" s="52" t="str">
        <f t="shared" si="11"/>
        <v>Koppotigen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niet-gespecificeerd zoogdier</v>
      </c>
      <c r="C108" s="52" t="str">
        <f>CONCATENATE(B108," [",A108,"]")</f>
        <v>niet-gespecificeerd zoogdier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Land</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25">
      <c r="A112" s="9" t="s">
        <v>66</v>
      </c>
      <c r="B112" s="9" t="str">
        <f t="shared" si="13"/>
        <v>Taal</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25">
      <c r="A113" s="9" t="s">
        <v>512</v>
      </c>
      <c r="B113" s="9" t="str">
        <f t="shared" si="13"/>
        <v>Indiening bij EU</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25">
      <c r="A114" s="13" t="s">
        <v>73</v>
      </c>
      <c r="B114" s="9" t="str">
        <f t="shared" si="13"/>
        <v>Naam van het project</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25">
      <c r="A115" s="13" t="s">
        <v>74</v>
      </c>
      <c r="B115" s="9" t="str">
        <f t="shared" si="13"/>
        <v>Duur van het project</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25">
      <c r="A116" s="13" t="s">
        <v>72</v>
      </c>
      <c r="B116" s="9" t="str">
        <f t="shared" si="13"/>
        <v>Trefwoorden</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25">
      <c r="A117" s="13" t="s">
        <v>76</v>
      </c>
      <c r="B117" s="9" t="str">
        <f t="shared" si="13"/>
        <v>Trefwoord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25">
      <c r="A118" s="13" t="s">
        <v>78</v>
      </c>
      <c r="B118" s="9" t="str">
        <f t="shared" si="13"/>
        <v>Doel(en) van het project</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25">
      <c r="A119" s="13" t="s">
        <v>79</v>
      </c>
      <c r="B119" s="9" t="str">
        <f t="shared" si="13"/>
        <v>Fundamenteel onderzoek</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Omzettinggericht en toegepast onderzoek</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Gebruik op grond van regelgeving: kwaliteitscontrole (m.i.v. tests van de veiligheid en werkzaamheid van charges)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25">
      <c r="A122" s="13" t="s">
        <v>82</v>
      </c>
      <c r="B122" s="9" t="str">
        <f t="shared" si="13"/>
        <v>Gebruik op grond van regelgeving: andere doeltreffendheids- en tolerantietests</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25">
      <c r="A123" s="13" t="s">
        <v>83</v>
      </c>
      <c r="B123" s="9" t="str">
        <f t="shared" si="13"/>
        <v>Gebruik op grond van regelgeving: toxiciteits- en andere veiligheidstests m.i.v. farmacologie</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25">
      <c r="A124" s="13" t="s">
        <v>84</v>
      </c>
      <c r="B124" s="9" t="str">
        <f t="shared" si="13"/>
        <v>Routineproductie</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25">
      <c r="A125" s="13" t="s">
        <v>85</v>
      </c>
      <c r="B125" s="9" t="str">
        <f t="shared" si="13"/>
        <v>Bescherming van het milieu in het belang van de gezondheid of het welzijn van mens of dier</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Behoud van de soort</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Hoger onderwijs</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Opleiding</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25">
      <c r="A129" s="13" t="s">
        <v>89</v>
      </c>
      <c r="B129" s="9" t="str">
        <f t="shared" si="13"/>
        <v>Forensisch onderzoek</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Instandhouding van kolonies van genetisch gewijzigde dieren, niet gebruikt in andere procedures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25">
      <c r="A131" s="13" t="s">
        <v>106</v>
      </c>
      <c r="B131" s="9" t="str">
        <f t="shared" si="13"/>
        <v>NIET-TECHNISCHE PROJECTSAMENVATTING</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25">
      <c r="A132" s="9" t="s">
        <v>108</v>
      </c>
      <c r="B132" s="9" t="str">
        <f t="shared" si="13"/>
        <v>Er moet ten minste één doel worden gekozen!</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25">
      <c r="A133" s="9" t="s">
        <v>107</v>
      </c>
      <c r="B133" s="9" t="str">
        <f t="shared" si="13"/>
        <v>Er moet ten minste één trefwoord worden ingevoerd!</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25">
      <c r="A134" s="9" t="s">
        <v>109</v>
      </c>
      <c r="B134" s="9" t="str">
        <f t="shared" si="13"/>
        <v>Doelstellingen en verwachte voordelen van het project</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25">
      <c r="A135" s="9" t="s">
        <v>110</v>
      </c>
      <c r="B135" s="9" t="str">
        <f t="shared" si="13"/>
        <v>Doelstellingen van het project</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25">
      <c r="A136" s="9" t="s">
        <v>112</v>
      </c>
      <c r="B136" s="9" t="str">
        <f t="shared" si="13"/>
        <v>Potentiële voordelen die dit project kan opleveren</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25">
      <c r="A137" s="9" t="s">
        <v>114</v>
      </c>
      <c r="B137" s="9" t="str">
        <f t="shared" si="13"/>
        <v>Voorspelde schade</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25">
      <c r="A138" s="9" t="s">
        <v>116</v>
      </c>
      <c r="B138" s="9" t="str">
        <f t="shared" si="13"/>
        <v>In welke procedures worden de dieren gewoonlijk gebruikt</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25">
      <c r="A139" s="9" t="s">
        <v>118</v>
      </c>
      <c r="B139" s="9" t="str">
        <f t="shared" si="13"/>
        <v>Verwachte gevolgen/nadelige effecten voor de dieren</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25">
      <c r="A140" s="9" t="s">
        <v>347</v>
      </c>
      <c r="B140" s="9" t="str">
        <f t="shared" si="13"/>
        <v>Verwachte schade</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25">
      <c r="A141" s="9" t="s">
        <v>119</v>
      </c>
      <c r="B141" s="9" t="str">
        <f t="shared" si="13"/>
        <v>Lot van in leven gehouden dieren</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Redenen voor het geplande lot van de dieren na de procedure</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25">
      <c r="A143" s="9" t="s">
        <v>124</v>
      </c>
      <c r="B143" s="9" t="str">
        <f t="shared" si="14"/>
        <v>Toepassing van de drie V’s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25">
      <c r="A144" s="9" t="s">
        <v>126</v>
      </c>
      <c r="B144" s="9" t="str">
        <f t="shared" si="14"/>
        <v>1. Vervanging</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25">
      <c r="A145" s="9" t="s">
        <v>128</v>
      </c>
      <c r="B145" s="9" t="str">
        <f t="shared" si="14"/>
        <v>2. Vermindering</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25">
      <c r="A146" s="9" t="s">
        <v>130</v>
      </c>
      <c r="B146" s="9" t="str">
        <f t="shared" si="14"/>
        <v>3. Verfijning</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25">
      <c r="A147" s="9" t="s">
        <v>132</v>
      </c>
      <c r="B147" s="9" t="str">
        <f t="shared" si="14"/>
        <v>Licht de keuze van de soorten en de bijbehorende levensstadia toe</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25">
      <c r="A148" s="9" t="s">
        <v>134</v>
      </c>
      <c r="B148" s="9" t="str">
        <f t="shared" si="14"/>
        <v>Voor een beoordeling achteraf geselecteerd project</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25">
      <c r="A149" s="9" t="s">
        <v>135</v>
      </c>
      <c r="B149" s="9" t="str">
        <f t="shared" si="14"/>
        <v>Project geselecteerd voor BA?</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25">
      <c r="A150" s="9" t="s">
        <v>138</v>
      </c>
      <c r="B150" s="9" t="str">
        <f t="shared" si="14"/>
        <v>Termijn voor BA</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25">
      <c r="A151" s="9" t="s">
        <v>140</v>
      </c>
      <c r="B151" s="9" t="str">
        <f t="shared" si="14"/>
        <v>Reden voor de beoordeling achteraf</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25">
      <c r="A152" s="27" t="s">
        <v>141</v>
      </c>
      <c r="B152" s="9" t="str">
        <f t="shared" si="14"/>
        <v>Bevat ernstige procedures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25">
      <c r="A153" s="27" t="s">
        <v>142</v>
      </c>
      <c r="B153" s="9" t="str">
        <f t="shared" si="14"/>
        <v>Maakt gebruik van niet-menselijke primaten</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25">
      <c r="A154" s="27" t="s">
        <v>143</v>
      </c>
      <c r="B154" s="9" t="str">
        <f t="shared" si="14"/>
        <v>Andere reden</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25">
      <c r="A155" s="27" t="s">
        <v>144</v>
      </c>
      <c r="B155" s="9" t="str">
        <f t="shared" si="14"/>
        <v>Toelichting van de andere reden voor de beoordeling achteraf</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25">
      <c r="A156" s="9" t="s">
        <v>149</v>
      </c>
      <c r="B156" s="9" t="str">
        <f t="shared" si="14"/>
        <v>Er moet ten minste één reden worden gekozen!</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25">
      <c r="A157" s="27" t="s">
        <v>150</v>
      </c>
      <c r="B157" s="9" t="str">
        <f t="shared" si="14"/>
        <v>Waarde is inconsistent!</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25">
      <c r="A158" s="27" t="s">
        <v>364</v>
      </c>
      <c r="B158" s="9" t="str">
        <f t="shared" si="14"/>
        <v>Nationale identificatiecode van de NTS</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Voor het geselecteerde land niet van toepassing!</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25">
      <c r="A160" s="27" t="s">
        <v>177</v>
      </c>
      <c r="B160" s="9" t="str">
        <f t="shared" si="15"/>
        <v>Door de bevoegde autoriteit in te vullen!</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25">
      <c r="A161" s="27" t="s">
        <v>303</v>
      </c>
      <c r="B161" s="9" t="str">
        <f t="shared" si="15"/>
        <v>Totale aantal moet hoger zijn dan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25">
      <c r="A162" s="27" t="s">
        <v>304</v>
      </c>
      <c r="B162" s="9" t="str">
        <f t="shared" si="15"/>
        <v>Soort moet worden geselecteerd!</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25">
      <c r="A163" s="27" t="s">
        <v>308</v>
      </c>
      <c r="B163" s="9" t="str">
        <f t="shared" si="15"/>
        <v>Minstens 1 rij!</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25">
      <c r="A164" s="27" t="s">
        <v>309</v>
      </c>
      <c r="B164" s="9" t="str">
        <f t="shared" si="15"/>
        <v>Soort:</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25">
      <c r="A165" s="27" t="s">
        <v>310</v>
      </c>
      <c r="B165" s="9" t="str">
        <f t="shared" si="15"/>
        <v>Terminaal</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25">
      <c r="A166" s="27" t="s">
        <v>311</v>
      </c>
      <c r="B166" s="9" t="str">
        <f t="shared" si="15"/>
        <v>Licht</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25">
      <c r="A167" s="27" t="s">
        <v>312</v>
      </c>
      <c r="B167" s="9" t="str">
        <f t="shared" si="15"/>
        <v>Matig</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25">
      <c r="A168" s="27" t="s">
        <v>313</v>
      </c>
      <c r="B168" s="9" t="str">
        <f t="shared" si="15"/>
        <v>Ernstig</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25">
      <c r="A169" s="27" t="s">
        <v>314</v>
      </c>
      <c r="B169" s="9" t="str">
        <f t="shared" si="15"/>
        <v>Totaal aantal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25">
      <c r="A170" s="27" t="s">
        <v>318</v>
      </c>
      <c r="B170" s="9" t="str">
        <f t="shared" si="15"/>
        <v>Hergebruikt</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25">
      <c r="A171" s="27" t="s">
        <v>319</v>
      </c>
      <c r="B171" s="9" t="str">
        <f t="shared" si="15"/>
        <v>Teruggeplaatst</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25">
      <c r="A172" s="27" t="s">
        <v>320</v>
      </c>
      <c r="B172" s="9" t="str">
        <f t="shared" si="15"/>
        <v>Geadopteerd</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25">
      <c r="A173" s="27" t="s">
        <v>324</v>
      </c>
      <c r="B173" s="9" t="str">
        <f t="shared" si="15"/>
        <v>Beschrijf de doelstellingen van het project (bijvoorbeeld het aanpakken van bepaalde wetenschappelijke onduidelijkheden, of wetenschappelijke of klinische behoeften).</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25">
      <c r="A174" s="27" t="s">
        <v>326</v>
      </c>
      <c r="B174" s="9" t="str">
        <f t="shared" si="15"/>
        <v>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25">
      <c r="A175" s="27" t="s">
        <v>328</v>
      </c>
      <c r="B175" s="9" t="str">
        <f t="shared" si="15"/>
        <v>In welke procedures worden de dieren gewoonlijk gebruikt (bijvoorbeeld injecties, chirurgische procedures)? Vermeld het aantal en de duur van deze procedures.</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25">
      <c r="A176" s="27" t="s">
        <v>330</v>
      </c>
      <c r="B176" s="9" t="str">
        <f t="shared" si="15"/>
        <v>Wat zijn de verwachte gevolgen/nadelige effecten voor de dieren, bijvoorbeeld pijn, gewichtsverlies, inactiviteit/verminderde mobiliteit, stress, abnormaal gedrag, en wat is de duur van die effecten?</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25">
      <c r="A177" s="27" t="s">
        <v>349</v>
      </c>
      <c r="B177" s="9" t="str">
        <f t="shared" si="15"/>
        <v>Welke soorten en aantallen dieren zullen naar verwachting worden gebruikt? Wat zijn de verwachte ernstgraden en de aantallen dieren in elke ernstcategorie (per soort)?</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25">
      <c r="A178" s="27" t="s">
        <v>333</v>
      </c>
      <c r="B178" s="9" t="str">
        <f t="shared" si="15"/>
        <v>Wat gebeurt er met de dieren die aan het einde van de procedure in leven worden gehouden?</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25">
      <c r="A179" s="27" t="s">
        <v>335</v>
      </c>
      <c r="B179" s="9" t="str">
        <f t="shared" si="15"/>
        <v>Geef de redenen voor het geplande lot van de dieren na de procedure.</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25">
      <c r="A180" s="27" t="s">
        <v>337</v>
      </c>
      <c r="B180" s="9" t="str">
        <f t="shared" si="15"/>
        <v>Beschrijf welke diervrije alternatieven op dit gebied voorhanden zijn en waarom zij niet voor het project kunnen worden gebruikt.</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25">
      <c r="A181" s="27" t="s">
        <v>339</v>
      </c>
      <c r="B181" s="9" t="str">
        <f t="shared" si="15"/>
        <v>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25">
      <c r="A182" s="27" t="s">
        <v>341</v>
      </c>
      <c r="B182" s="9" t="str">
        <f t="shared" si="15"/>
        <v>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25">
      <c r="A183" s="27" t="s">
        <v>343</v>
      </c>
      <c r="B183" s="9" t="str">
        <f t="shared" si="15"/>
        <v>Geraamde aantallen naar ernstgraad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25">
      <c r="A184" s="27" t="s">
        <v>346</v>
      </c>
      <c r="B184" s="9" t="str">
        <f t="shared" si="15"/>
        <v>Geraamd aantal te hergebruiken, in het habitat-/houderijsysteem terug te plaatsen of voor adoptie vrij te geven dieren</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25">
      <c r="A185" s="27" t="s">
        <v>350</v>
      </c>
      <c r="B185" s="9" t="str">
        <f t="shared" si="14"/>
        <v>Verplicht!</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25">
      <c r="A186" s="27" t="s">
        <v>499</v>
      </c>
      <c r="B186" s="9" t="str">
        <f t="shared" si="14"/>
        <v>Van toepassing op de lidstaten waar deze informatie krachtens de wetgeving vereist is</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25">
      <c r="A187" s="27" t="s">
        <v>351</v>
      </c>
      <c r="B187" s="9" t="str">
        <f t="shared" si="14"/>
        <v>Maximale lengte is 100 tekens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25">
      <c r="A188" s="27" t="s">
        <v>360</v>
      </c>
      <c r="B188" s="9" t="str">
        <f t="shared" si="14"/>
        <v>Duur van het project, uitgedrukt in maanden.</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25">
      <c r="A189" s="27" t="s">
        <v>361</v>
      </c>
      <c r="B189" s="9" t="str">
        <f t="shared" si="14"/>
        <v>Moet een heel getal tussen 1 en 60 zijn!</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25">
      <c r="A190" s="27" t="s">
        <v>353</v>
      </c>
      <c r="B190" s="9" t="str">
        <f t="shared" si="14"/>
        <v>Maximale lengte is 50 tekens inclusief spaties.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25">
      <c r="A191" s="27" t="s">
        <v>356</v>
      </c>
      <c r="B191" s="9" t="str">
        <f t="shared" si="14"/>
        <v>Maximale lengte is 2500 tekens.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25">
      <c r="A192" s="27" t="s">
        <v>358</v>
      </c>
      <c r="B192" s="9" t="str">
        <f t="shared" si="14"/>
        <v>Maximale lengte is 500 tekens.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25">
      <c r="A193" s="27" t="s">
        <v>365</v>
      </c>
      <c r="B193" s="9" t="str">
        <f t="shared" si="14"/>
        <v>Nationale identificatiecode van de NTS</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25">
      <c r="A194" s="27" t="s">
        <v>366</v>
      </c>
      <c r="B194" s="9" t="str">
        <f t="shared" si="14"/>
        <v>Vul het blad "Verwachte schade” in. Gelieve ten minste één rij in te vullen!</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25">
      <c r="A195" s="27" t="s">
        <v>368</v>
      </c>
      <c r="B195" s="9" t="str">
        <f t="shared" si="14"/>
        <v>Vul het blad "Lot van in leven gehouden dieren" in, indien van toepassing.</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25">
      <c r="A196" s="27" t="s">
        <v>370</v>
      </c>
      <c r="B196" s="9" t="str">
        <f t="shared" si="14"/>
        <v>Formaat dd-mm-jjjj of dd/mm/jjjj afhankelijk van uw systeeminstellingen (bv. 27-05-2022 of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25">
      <c r="A197" s="27" t="s">
        <v>386</v>
      </c>
      <c r="B197" s="9" t="str">
        <f t="shared" si="14"/>
        <v>Aanvullende velden</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25">
      <c r="A198" s="27" t="s">
        <v>388</v>
      </c>
      <c r="B198" s="9" t="str">
        <f t="shared" si="14"/>
        <v>Of het specifieke gebied al dan niet van toepassing is, hangt af van de nationale voorschriften.</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25">
      <c r="A199" s="27" t="s">
        <v>389</v>
      </c>
      <c r="B199" s="9" t="str">
        <f t="shared" si="14"/>
        <v>Startdatum project</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Einddatum project</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25">
      <c r="A201" s="27" t="s">
        <v>399</v>
      </c>
      <c r="B201" s="9" t="str">
        <f t="shared" si="14"/>
        <v>Goedkeuringsdatum project</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25">
      <c r="A202" s="27" t="s">
        <v>401</v>
      </c>
      <c r="B202" s="9" t="str">
        <f t="shared" si="14"/>
        <v>ICD-code</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25">
      <c r="A203" s="27" t="s">
        <v>494</v>
      </c>
      <c r="B203" s="9" t="str">
        <f t="shared" si="14"/>
        <v>Nationaal veld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25">
      <c r="A204" s="27" t="s">
        <v>495</v>
      </c>
      <c r="B204" s="9" t="str">
        <f t="shared" si="14"/>
        <v>Nationaal veld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25">
      <c r="A205" s="27" t="s">
        <v>496</v>
      </c>
      <c r="B205" s="9" t="str">
        <f t="shared" si="14"/>
        <v>Nationaal veld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25">
      <c r="A206" s="27" t="s">
        <v>503</v>
      </c>
      <c r="B206" s="9" t="str">
        <f t="shared" si="14"/>
        <v>Nationaal veld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25">
      <c r="A207" s="27" t="s">
        <v>504</v>
      </c>
      <c r="B207" s="9" t="str">
        <f t="shared" si="14"/>
        <v>Nationaal veld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Vul het blad "Doel van het project” in.</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25">
      <c r="A209" s="27" t="s">
        <v>498</v>
      </c>
      <c r="B209" s="9" t="str">
        <f t="shared" si="14"/>
        <v>(in maanden)</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25">
      <c r="A210" s="27" t="s">
        <v>501</v>
      </c>
      <c r="B210" s="9" t="str">
        <f t="shared" si="14"/>
        <v>Kan uit meer dan één woord bestaan.</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25">
      <c r="A211" s="27" t="s">
        <v>505</v>
      </c>
      <c r="B211" s="9" t="str">
        <f t="shared" si="14"/>
        <v>Vul alle categorieën in met hele getallen (0 of hoger)!</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25">
      <c r="A212" s="27" t="s">
        <v>513</v>
      </c>
      <c r="B212" s="9" t="str">
        <f t="shared" si="14"/>
        <v>Geef aan of het project al dan niet binnen het toepassingsgebied van de richtlijn valt.</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Code internationale classificatie van ziekten (ICD).</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25">
      <c r="A214" s="27" t="s">
        <v>529</v>
      </c>
      <c r="B214" s="9" t="str">
        <f t="shared" si="18"/>
        <v>Tot een nauwkeurigheid van een code van 4 tekens.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25">
      <c r="A215" s="27" t="s">
        <v>533</v>
      </c>
      <c r="B215" s="9" t="str">
        <f t="shared" si="18"/>
        <v>Link naar de eerdere versie van de NTS buiten het EC-systeem</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Te gebruiken in de overgangsperiode waarin de vorige versie van de NTS mogelijk niet in het EC-systeem bestaat.</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25">
      <c r="A217" s="27" t="s">
        <v>539</v>
      </c>
      <c r="B217" s="9" t="str">
        <f t="shared" si="19"/>
        <v>NTS-identificatiecode</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25">
      <c r="A218" s="27" t="s">
        <v>541</v>
      </c>
      <c r="B218" s="9" t="str">
        <f t="shared" si="19"/>
        <v>Unieke, door het centrale EC-systeem toegekende NTS-identificatiecode.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25">
      <c r="A219" s="27" t="s">
        <v>542</v>
      </c>
      <c r="B219" s="9" t="str">
        <f t="shared" si="18"/>
        <v>Alleen in te vullen wanneer de NTS al in het EC-systeem is opgeslagen.</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25">
      <c r="A220" s="27" t="s">
        <v>547</v>
      </c>
      <c r="B220" s="9" t="str">
        <f t="shared" si="18"/>
        <v>Andere, door de lidstaat gekozen ernstgraad</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25">
      <c r="A221" s="27" t="s">
        <v>553</v>
      </c>
      <c r="B221" s="9" t="str">
        <f t="shared" si="18"/>
        <v>Veld wordt niet gepubliceerd.</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ht="15.75" thickBot="1" x14ac:dyDescent="0.3"/>
    <row r="2" spans="1:31" ht="15.75" thickBot="1" x14ac:dyDescent="0.3">
      <c r="A2" s="27" t="s">
        <v>12</v>
      </c>
      <c r="B2" s="95" t="str">
        <f>IF(language="","en",language)</f>
        <v>nl</v>
      </c>
    </row>
    <row r="3" spans="1:31" ht="15.75" thickBot="1" x14ac:dyDescent="0.3">
      <c r="A3" s="27" t="s">
        <v>15</v>
      </c>
      <c r="B3" s="96" t="str">
        <f>yes</f>
        <v>ja [1]</v>
      </c>
      <c r="C3" s="97" t="str">
        <f>no</f>
        <v>nee [0]</v>
      </c>
    </row>
    <row r="4" spans="1:31" ht="15.75" thickBot="1" x14ac:dyDescent="0.3">
      <c r="A4" s="27" t="s">
        <v>14</v>
      </c>
      <c r="B4" s="96" t="str">
        <f>yes</f>
        <v>ja [1]</v>
      </c>
      <c r="C4" s="98" t="s">
        <v>6</v>
      </c>
    </row>
    <row r="5" spans="1:31" ht="15.75" thickBot="1" x14ac:dyDescent="0.3">
      <c r="A5" s="27" t="s">
        <v>391</v>
      </c>
      <c r="B5" s="95">
        <v>1</v>
      </c>
      <c r="C5" s="99"/>
    </row>
    <row r="6" spans="1:31" ht="15.75" thickBot="1" x14ac:dyDescent="0.3">
      <c r="A6" s="27" t="s">
        <v>174</v>
      </c>
      <c r="B6" s="95" t="str">
        <f>IF(NTS!B2="","",IF(VLOOKUP(NTS!B2,A11:B38,2)="yes","*",""))</f>
        <v>*</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x14ac:dyDescent="0.25">
      <c r="A9" s="5"/>
      <c r="B9" s="100"/>
      <c r="C9" s="99"/>
    </row>
    <row r="10" spans="1:31" ht="15.75" thickBot="1" x14ac:dyDescent="0.3">
      <c r="A10" s="27" t="s">
        <v>172</v>
      </c>
      <c r="B10" s="100" t="s">
        <v>173</v>
      </c>
      <c r="C10" s="99" t="s">
        <v>392</v>
      </c>
      <c r="D10" s="9" t="s">
        <v>397</v>
      </c>
    </row>
    <row r="11" spans="1:31" x14ac:dyDescent="0.25">
      <c r="A11" s="53" t="s">
        <v>35</v>
      </c>
      <c r="B11" s="101" t="s">
        <v>4</v>
      </c>
      <c r="C11" s="102"/>
      <c r="D11" s="103"/>
    </row>
    <row r="12" spans="1:31" x14ac:dyDescent="0.25">
      <c r="A12" s="53" t="s">
        <v>36</v>
      </c>
      <c r="B12" s="104" t="s">
        <v>4</v>
      </c>
      <c r="C12" s="99"/>
      <c r="D12" s="87"/>
    </row>
    <row r="13" spans="1:31" x14ac:dyDescent="0.25">
      <c r="A13" s="53" t="s">
        <v>37</v>
      </c>
      <c r="B13" s="104" t="s">
        <v>4</v>
      </c>
      <c r="C13" s="99"/>
      <c r="D13" s="87"/>
    </row>
    <row r="14" spans="1:31" x14ac:dyDescent="0.2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2020-03-26T19:58:53Z</dcterms:created>
  <dcterms:modified xsi:type="dcterms:W3CDTF">2022-11-29T09:06:23Z</dcterms:modified>
</cp:coreProperties>
</file>