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PD-IvD\Projects CCD - project aanvragen\AVD30100202216397_CCD Project FMO\Wijziging\wijziging 230802\"/>
    </mc:Choice>
  </mc:AlternateContent>
  <bookViews>
    <workbookView xWindow="8835" yWindow="1860" windowWidth="10365" windowHeight="7335" tabRatio="577" activeTab="1"/>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<sst xmlns="http://schemas.openxmlformats.org/spreadsheetml/2006/main" count="5269" uniqueCount="4971">
  <si>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</si>
  <si>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</si>
  <si>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</si>
  <si>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</si>
  <si>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</si>
  <si>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</si>
  <si>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</si>
  <si>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</si>
  <si>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</si>
  <si>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</si>
  <si>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</si>
  <si>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</si>
  <si>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</si>
  <si>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</si>
  <si>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</si>
  <si>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</si>
  <si>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</si>
  <si>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</si>
  <si>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</si>
  <si>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</si>
  <si>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</si>
  <si>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</si>
  <si>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</si>
  <si>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</si>
  <si>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</si>
  <si>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</si>
  <si>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</si>
  <si>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</si>
  <si>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</si>
  <si>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</si>
  <si>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</si>
  <si>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</si>
  <si>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</si>
  <si>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</si>
  <si>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</si>
  <si>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</si>
  <si>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</si>
  <si>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</si>
  <si>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</si>
  <si>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</si>
  <si>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</si>
  <si>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</si>
  <si>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</si>
  <si>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</si>
  <si>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</si>
  <si>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</si>
  <si>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</si>
  <si>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</si>
  <si>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</si>
  <si>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</si>
  <si>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</si>
  <si>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</si>
  <si>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</si>
  <si>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</si>
  <si>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</si>
  <si>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</si>
  <si>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</si>
  <si>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</si>
  <si>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</si>
  <si>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</si>
  <si>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</si>
  <si>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</si>
  <si>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</si>
  <si>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</si>
  <si>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</si>
  <si>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</si>
  <si>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</si>
  <si>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</si>
  <si>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</si>
  <si>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</si>
  <si>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</si>
  <si>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</si>
  <si>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</si>
  <si>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</si>
  <si>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</si>
  <si>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</si>
  <si>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</si>
  <si>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</si>
  <si>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</si>
  <si>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</si>
  <si>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</si>
  <si>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</si>
  <si>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</si>
  <si>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</si>
  <si>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</si>
  <si>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</si>
  <si>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</si>
  <si>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</si>
  <si>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</si>
  <si>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</si>
  <si>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</si>
  <si>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</si>
  <si>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</si>
  <si>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</si>
  <si>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</si>
  <si>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</si>
  <si>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</si>
  <si>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</si>
  <si>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</si>
  <si>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</si>
  <si>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</si>
  <si>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</si>
  <si>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</si>
  <si>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</si>
  <si>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</si>
  <si>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</si>
  <si>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</si>
  <si>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</si>
  <si>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</si>
  <si>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</si>
  <si>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</si>
  <si>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</si>
  <si>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</si>
  <si>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</si>
  <si>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</si>
  <si>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</si>
  <si>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</si>
  <si>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</si>
  <si>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</si>
  <si>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</si>
  <si>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</si>
  <si>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</si>
  <si>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</si>
  <si>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</si>
  <si>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</si>
  <si>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</si>
  <si>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</si>
  <si>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</si>
  <si>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</si>
  <si>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</si>
  <si>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</si>
  <si>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</si>
  <si>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</si>
  <si>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</si>
  <si>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</si>
  <si>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</si>
  <si>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</si>
  <si>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</si>
  <si>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</si>
  <si>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</si>
  <si>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</si>
  <si>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</si>
  <si>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</si>
  <si>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</si>
  <si>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</si>
  <si>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</si>
  <si>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</si>
  <si>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</si>
  <si>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</si>
  <si>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</si>
  <si>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</si>
  <si>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</si>
  <si>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</si>
  <si>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</si>
  <si>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</si>
  <si>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</si>
  <si>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</si>
  <si>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</si>
  <si>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</si>
  <si>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</si>
  <si>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</si>
  <si>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</si>
  <si>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</si>
  <si>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</si>
  <si>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</si>
  <si>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</si>
  <si>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</si>
  <si>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</si>
  <si>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</si>
  <si>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</si>
  <si>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</si>
  <si>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</si>
  <si>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</si>
  <si>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</si>
  <si>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</si>
  <si>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</si>
  <si>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</si>
  <si>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</si>
  <si>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</si>
  <si>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</si>
  <si>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</si>
  <si>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</si>
  <si>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</si>
  <si>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</si>
  <si>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</si>
  <si>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</si>
  <si>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</si>
  <si>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</si>
  <si>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</si>
  <si>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</si>
  <si>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</si>
  <si>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</si>
  <si>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</si>
  <si>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</si>
  <si>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</si>
  <si>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</si>
  <si>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</si>
  <si>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</si>
  <si>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</si>
  <si>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</si>
  <si>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</si>
  <si>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</si>
  <si>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</si>
  <si>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</si>
  <si>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</si>
  <si>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</si>
  <si>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</si>
  <si>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</si>
  <si>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</si>
  <si>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</si>
  <si>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</si>
  <si>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</si>
  <si>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</si>
  <si>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</si>
  <si>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</si>
  <si>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</si>
  <si>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</si>
  <si>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</si>
  <si>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</si>
  <si>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</si>
  <si>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</si>
  <si>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</si>
  <si>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</si>
  <si>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</si>
  <si>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</si>
  <si>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</si>
  <si>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</si>
  <si>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</si>
  <si>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</si>
  <si>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</si>
  <si>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</si>
  <si>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</si>
  <si>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</si>
  <si>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</si>
  <si>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</si>
  <si>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</si>
  <si>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</si>
  <si>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</si>
  <si>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</si>
  <si>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</si>
  <si>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</si>
  <si>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</si>
  <si>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</si>
  <si>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</si>
  <si>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</si>
  <si>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</si>
  <si>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</si>
  <si>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</si>
  <si>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</si>
  <si>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</si>
  <si>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</si>
  <si>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</si>
  <si>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</si>
  <si>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</si>
  <si>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</si>
  <si>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</si>
  <si>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</si>
  <si>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</si>
  <si>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</si>
  <si>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</si>
  <si>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</si>
  <si>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</si>
  <si>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</si>
  <si>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</si>
  <si>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</si>
  <si>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</si>
  <si>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</si>
  <si>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</si>
  <si>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</si>
  <si>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</si>
  <si>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</si>
  <si>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</si>
  <si>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</si>
  <si>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</si>
  <si>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</si>
  <si>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</si>
  <si>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</si>
  <si>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</si>
  <si>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</si>
  <si>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</si>
  <si>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</si>
  <si>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</si>
  <si>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</si>
  <si>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</si>
  <si>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</si>
  <si>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</si>
  <si>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</si>
  <si>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</si>
  <si>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</si>
  <si>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</si>
  <si>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</si>
  <si>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</si>
  <si>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</si>
  <si>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</si>
  <si>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</si>
  <si>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</si>
  <si>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</si>
  <si>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</si>
  <si>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</si>
  <si>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</si>
  <si>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</si>
  <si>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</si>
  <si>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</si>
  <si>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</si>
  <si>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</si>
  <si>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</si>
  <si>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</si>
  <si>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</si>
  <si>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</si>
  <si>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</si>
  <si>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</si>
  <si>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</si>
  <si>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</si>
  <si>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</si>
  <si>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</si>
  <si>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</si>
  <si>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</si>
  <si>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</si>
  <si>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</si>
  <si>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</si>
  <si>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</si>
  <si>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</si>
  <si>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</si>
  <si>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</si>
  <si>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</si>
  <si>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</si>
  <si>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</si>
  <si>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</si>
  <si>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</si>
  <si>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</si>
  <si>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</si>
  <si>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</si>
  <si>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</si>
  <si>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</si>
  <si>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</si>
  <si>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</si>
  <si>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</si>
  <si>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</si>
  <si>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</si>
  <si>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</si>
  <si>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</si>
  <si>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</si>
  <si>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</si>
  <si>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</si>
  <si>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</si>
  <si>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</si>
  <si>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</si>
  <si>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</si>
  <si>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</si>
  <si>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</si>
  <si>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</si>
  <si>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</si>
  <si>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</si>
  <si>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</si>
  <si>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</si>
  <si>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</si>
  <si>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</si>
  <si>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</si>
  <si>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</si>
  <si>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</si>
  <si>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</si>
  <si>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</si>
  <si>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</si>
  <si>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</si>
  <si>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</si>
  <si>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</si>
  <si>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</si>
  <si>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</si>
  <si>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</si>
  <si>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</si>
  <si>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</si>
  <si>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</si>
  <si>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</si>
  <si>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</si>
  <si>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</si>
  <si>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</si>
  <si>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</si>
  <si>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</si>
  <si>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</si>
  <si>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</si>
  <si>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</si>
  <si>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</si>
  <si>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</si>
  <si>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</si>
  <si>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</si>
  <si>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</si>
  <si>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</si>
  <si>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</si>
  <si>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</si>
  <si>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</si>
  <si>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</si>
  <si>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</si>
  <si>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</si>
  <si>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</si>
  <si>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</si>
  <si>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</si>
  <si>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</si>
  <si>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</si>
  <si>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</si>
  <si>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</si>
  <si>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</si>
  <si>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</si>
  <si>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</si>
  <si>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</si>
  <si>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</si>
  <si>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</si>
  <si>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</si>
  <si>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</si>
  <si>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</si>
  <si>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</si>
  <si>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</si>
  <si>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</si>
  <si>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</si>
  <si>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</si>
  <si>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</si>
  <si>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</si>
  <si>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</si>
  <si>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</si>
  <si>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</si>
  <si>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</si>
  <si>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</si>
  <si>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</si>
  <si>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</si>
  <si>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</si>
  <si>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</si>
  <si>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</si>
  <si>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</si>
  <si>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</si>
  <si>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</si>
  <si>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</si>
  <si>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</si>
  <si>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</si>
  <si>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</si>
  <si>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</si>
  <si>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</si>
  <si>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</si>
  <si>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</si>
  <si>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</si>
  <si>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</si>
  <si>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</si>
  <si>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</si>
  <si>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</si>
  <si>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</si>
  <si>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</si>
  <si>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</si>
  <si>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</si>
  <si>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</si>
  <si>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</si>
  <si>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</si>
  <si>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</si>
  <si>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</si>
  <si>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</si>
  <si>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</si>
  <si>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</si>
  <si>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</si>
  <si>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</si>
  <si>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</si>
  <si>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</si>
  <si>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</si>
  <si>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</si>
  <si>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</si>
  <si>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</si>
  <si>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</si>
  <si>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</si>
  <si>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</si>
  <si>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</si>
  <si>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</si>
  <si>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</si>
  <si>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</si>
  <si>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</si>
  <si>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</si>
  <si>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</si>
  <si>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</si>
  <si>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</si>
  <si>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</si>
  <si>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</si>
  <si>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</si>
  <si>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</si>
  <si>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</si>
  <si>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</si>
  <si>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</si>
  <si>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</si>
  <si>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</si>
  <si>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</si>
  <si>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</si>
  <si>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</si>
  <si>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</si>
  <si>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</si>
  <si>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</si>
  <si>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</si>
  <si>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</si>
  <si>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</si>
  <si>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</si>
  <si>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</si>
  <si>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</si>
  <si>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</si>
  <si>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</si>
  <si>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</si>
  <si>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</si>
  <si>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</si>
  <si>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</si>
  <si>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</si>
  <si>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</si>
  <si>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</si>
  <si>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</si>
  <si>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</si>
  <si>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</si>
  <si>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</si>
  <si>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</si>
  <si>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</si>
  <si>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</si>
  <si>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</si>
  <si>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</si>
  <si>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</si>
  <si>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</si>
  <si>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</si>
  <si>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</si>
  <si>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</si>
  <si>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</si>
  <si>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</si>
  <si>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</si>
  <si>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</si>
  <si>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</si>
  <si>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</si>
  <si>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</si>
  <si>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</si>
  <si>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</si>
  <si>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</si>
  <si>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</si>
  <si>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</si>
  <si>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</si>
  <si>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</si>
  <si>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</si>
  <si>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</si>
  <si>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</si>
  <si>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</si>
  <si>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</si>
  <si>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</si>
  <si>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</si>
  <si>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</si>
  <si>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</si>
  <si>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</si>
  <si>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</si>
  <si>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</si>
  <si>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</si>
  <si>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</si>
  <si>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</si>
  <si>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</si>
  <si>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</si>
  <si>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</si>
  <si>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</si>
  <si>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</si>
  <si>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</si>
  <si>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</si>
  <si>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</si>
  <si>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</si>
  <si>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</si>
  <si>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</si>
  <si>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</si>
  <si>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</si>
  <si>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</si>
  <si>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</si>
  <si>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</si>
  <si>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</si>
  <si>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</si>
  <si>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</si>
  <si>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</si>
  <si>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</si>
  <si>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</si>
  <si>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</si>
  <si>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</si>
  <si>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</si>
  <si>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</si>
  <si>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</si>
  <si>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</si>
  <si>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</si>
  <si>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</si>
  <si>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</si>
  <si>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</si>
  <si>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</si>
  <si>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</si>
  <si>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</si>
  <si>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</si>
  <si>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</si>
  <si>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</si>
  <si>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</si>
  <si>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</si>
  <si>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</si>
  <si>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</si>
  <si>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</si>
  <si>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</si>
  <si>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</si>
  <si>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</si>
  <si>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</si>
  <si>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</si>
  <si>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</si>
  <si>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</si>
  <si>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</si>
  <si>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</si>
  <si>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</si>
  <si>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</si>
  <si>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</si>
  <si>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</si>
  <si>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</si>
  <si>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</si>
  <si>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</si>
  <si>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</si>
  <si>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</si>
  <si>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</si>
  <si>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</si>
  <si>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</si>
  <si>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</si>
  <si>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</si>
  <si>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</si>
  <si>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</si>
  <si>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</si>
  <si>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</si>
  <si>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</si>
  <si>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</si>
  <si>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</si>
  <si>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</si>
  <si>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</si>
  <si>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</si>
  <si>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</si>
  <si>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</si>
  <si>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</si>
  <si>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</si>
  <si>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</si>
  <si>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</si>
  <si>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</si>
  <si>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</si>
  <si>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</si>
  <si>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</si>
  <si>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</si>
  <si>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</si>
  <si>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</si>
  <si>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</si>
  <si>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</si>
  <si>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</si>
  <si>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</si>
  <si>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</si>
  <si>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</si>
  <si>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</si>
  <si>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</si>
  <si>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</si>
  <si>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</si>
  <si>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</si>
  <si>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</si>
  <si>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</si>
  <si>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</si>
  <si>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</si>
  <si>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</si>
  <si>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</si>
  <si>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</si>
  <si>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</si>
  <si>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</si>
  <si>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</si>
  <si>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</si>
  <si>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</si>
  <si>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</si>
  <si>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</si>
  <si>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</si>
  <si>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</si>
  <si>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</si>
  <si>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</si>
  <si>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</si>
  <si>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</si>
  <si>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</si>
  <si>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</si>
  <si>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</si>
  <si>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</si>
  <si>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</si>
  <si>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</si>
  <si>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</si>
  <si>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</si>
  <si>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</si>
  <si>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</si>
  <si>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</si>
  <si>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</si>
  <si>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</si>
  <si>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</si>
  <si>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</si>
  <si>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</si>
  <si>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</si>
  <si>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</si>
  <si>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</si>
  <si>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</si>
  <si>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</si>
  <si>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</si>
  <si>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</si>
  <si>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</si>
  <si>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</si>
  <si>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</si>
  <si>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</si>
  <si>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</si>
  <si>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</si>
  <si>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</si>
  <si>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</si>
  <si>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</si>
  <si>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</si>
  <si>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</si>
  <si>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</si>
  <si>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</si>
  <si>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</si>
  <si>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</si>
  <si>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</si>
  <si>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</si>
  <si>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</si>
  <si>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</si>
  <si>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</si>
  <si>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</si>
  <si>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</si>
  <si>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</si>
  <si>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</si>
  <si>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</si>
  <si>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</si>
  <si>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</si>
  <si>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</si>
  <si>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</si>
  <si>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</si>
  <si>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</si>
  <si>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</si>
  <si>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</si>
  <si>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</si>
  <si>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</si>
  <si>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</si>
  <si>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</si>
  <si>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</si>
  <si>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</si>
  <si>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</si>
  <si>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</si>
  <si>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</si>
  <si>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</si>
  <si>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</si>
  <si>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</si>
  <si>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</si>
  <si>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</si>
  <si>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</si>
  <si>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</si>
  <si>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</si>
  <si>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</si>
  <si>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</si>
  <si>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</si>
  <si>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</si>
  <si>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</si>
  <si>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</si>
  <si>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</si>
  <si>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</si>
  <si>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</si>
  <si>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</si>
  <si>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</si>
  <si>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</si>
  <si>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</si>
  <si>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</si>
  <si>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</si>
  <si>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</si>
  <si>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</si>
  <si>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</si>
  <si>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</si>
  <si>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</si>
  <si>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</si>
  <si>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</si>
  <si>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</si>
  <si>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</si>
  <si>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</si>
  <si>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</si>
  <si>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</si>
  <si>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</si>
  <si>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</si>
  <si>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</si>
  <si>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</si>
  <si>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</si>
  <si>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</si>
  <si>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</si>
  <si>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</si>
  <si>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</si>
  <si>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</si>
  <si>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</si>
  <si>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</si>
  <si>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</si>
  <si>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</si>
  <si>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</si>
  <si>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</si>
  <si>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</si>
  <si>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</si>
  <si>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</si>
  <si>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</si>
  <si>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</si>
  <si>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</si>
  <si>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</si>
  <si>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</si>
  <si>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</si>
  <si>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</si>
  <si>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</si>
  <si>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</si>
  <si>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</si>
  <si>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</si>
  <si>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</si>
  <si>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</si>
  <si>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</si>
  <si>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</si>
  <si>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</si>
  <si>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</si>
  <si>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</si>
  <si>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</si>
  <si>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</si>
  <si>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</si>
  <si>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</si>
  <si>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</si>
  <si>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</si>
  <si>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</si>
  <si>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</si>
  <si>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</si>
  <si>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</si>
  <si>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</si>
  <si>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</si>
  <si>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</si>
  <si>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</si>
  <si>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</si>
  <si>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</si>
  <si>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</si>
  <si>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</si>
  <si>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</si>
  <si>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</si>
  <si>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</si>
  <si>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</si>
  <si>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</si>
  <si>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</si>
  <si>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</si>
  <si>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</si>
  <si>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</si>
  <si>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</si>
  <si>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</si>
  <si>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</si>
  <si>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</si>
  <si>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</si>
  <si>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</si>
  <si>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</si>
  <si>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</si>
  <si>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</si>
  <si>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</si>
  <si>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</si>
  <si>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</si>
  <si>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</si>
  <si>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</si>
  <si>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</si>
  <si>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</si>
  <si>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</si>
  <si>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</si>
  <si>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</si>
  <si>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</si>
  <si>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</si>
  <si>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</si>
  <si>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</si>
  <si>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</si>
  <si>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</si>
  <si>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</si>
  <si>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</si>
  <si>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</si>
  <si>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</si>
  <si>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</si>
  <si>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</si>
  <si>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</si>
  <si>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</si>
  <si>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</si>
  <si>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</si>
  <si>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</si>
  <si>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</si>
  <si>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</si>
  <si>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</si>
  <si>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</si>
  <si>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</si>
  <si>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</si>
  <si>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</si>
  <si>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</si>
  <si>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</si>
  <si>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</si>
  <si>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</si>
  <si>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</si>
  <si>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</si>
  <si>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</si>
  <si>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</si>
  <si>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</si>
  <si>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</si>
  <si>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</si>
  <si>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</si>
  <si>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</si>
  <si>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</si>
  <si>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</si>
  <si>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</si>
  <si>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</si>
  <si>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</si>
  <si>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</si>
  <si>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</si>
  <si>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</si>
  <si>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</si>
  <si>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</si>
  <si>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</si>
  <si>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</si>
  <si>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</si>
  <si>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</si>
  <si>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</si>
  <si>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</si>
  <si>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</si>
  <si>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</si>
  <si>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</si>
  <si>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</si>
  <si>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</si>
  <si>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</si>
  <si>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</si>
  <si>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</si>
  <si>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</si>
  <si>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</si>
  <si>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</si>
  <si>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</si>
  <si>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</si>
  <si>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</si>
  <si>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</si>
  <si>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</si>
  <si>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</si>
  <si>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</si>
  <si>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</si>
  <si>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</si>
  <si>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</si>
  <si>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</si>
  <si>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</si>
  <si>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</si>
  <si>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</si>
  <si>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</si>
  <si>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</si>
  <si>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</si>
  <si>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</si>
  <si>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</si>
  <si>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</si>
  <si>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</si>
  <si>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</si>
  <si>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</si>
  <si>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</si>
  <si>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</si>
  <si>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</si>
  <si>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</si>
  <si>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</si>
  <si>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</si>
  <si>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</si>
  <si>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</si>
  <si>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</si>
  <si>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</si>
  <si>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</si>
  <si>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</si>
  <si>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</si>
  <si>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</si>
  <si>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</si>
  <si>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</si>
  <si>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</si>
  <si>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</si>
  <si>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</si>
  <si>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</si>
  <si>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</si>
  <si>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</si>
  <si>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</si>
  <si>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</si>
  <si>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</si>
  <si>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</si>
  <si>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</si>
  <si>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</si>
  <si>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</si>
  <si>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</si>
  <si>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</si>
  <si>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</si>
  <si>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</si>
  <si>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</si>
  <si>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</si>
  <si>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</si>
  <si>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</si>
  <si>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</si>
  <si>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</si>
  <si>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</si>
  <si>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</si>
  <si>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</si>
  <si>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</si>
  <si>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</si>
  <si>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</si>
  <si>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</si>
  <si>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</si>
  <si>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</si>
  <si>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</si>
  <si>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</si>
  <si>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</si>
  <si>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</si>
  <si>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</si>
  <si>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</si>
  <si>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</si>
  <si>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</si>
  <si>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</si>
  <si>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</si>
  <si>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</si>
  <si>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</si>
  <si>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</si>
  <si>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</si>
  <si>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</si>
  <si>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</si>
  <si>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</si>
  <si>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</si>
  <si>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</si>
  <si>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</si>
  <si>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</si>
  <si>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</si>
  <si>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</si>
  <si>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</si>
  <si>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</si>
  <si>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</si>
  <si>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</si>
  <si>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</si>
  <si>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</si>
  <si>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</si>
  <si>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</si>
  <si>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</si>
  <si>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</si>
  <si>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</si>
  <si>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</si>
  <si>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</si>
  <si>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</si>
  <si>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</si>
  <si>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</si>
  <si>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</si>
  <si>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</si>
  <si>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</si>
  <si>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</si>
  <si>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</si>
  <si>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</si>
  <si>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</si>
  <si>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</si>
  <si>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</si>
  <si>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</si>
  <si>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</si>
  <si>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</si>
  <si>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</si>
  <si>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</si>
  <si>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</si>
  <si>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</si>
  <si>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</si>
  <si>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</si>
  <si>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</si>
  <si>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</si>
  <si>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</si>
  <si>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</si>
  <si>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</si>
  <si>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</si>
  <si>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</si>
  <si>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</si>
  <si>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</si>
  <si>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</si>
  <si>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</si>
  <si>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</si>
  <si>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</si>
  <si>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</si>
  <si>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</si>
  <si>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</si>
  <si>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</si>
  <si>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</si>
  <si>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</si>
  <si>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</si>
  <si>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</si>
  <si>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</si>
  <si>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</si>
  <si>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</si>
  <si>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</si>
  <si>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</si>
  <si>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</si>
  <si>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</si>
  <si>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</si>
  <si>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</si>
  <si>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</si>
  <si>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</si>
  <si>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</si>
  <si>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</si>
  <si>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</si>
  <si>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</si>
  <si>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</si>
  <si>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</si>
  <si>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</si>
  <si>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</si>
  <si>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</si>
  <si>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</si>
  <si>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</si>
  <si>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</si>
  <si>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</si>
  <si>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</si>
  <si>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</si>
  <si>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</si>
  <si>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</si>
  <si>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</si>
  <si>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</si>
  <si>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</si>
  <si>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</si>
  <si>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</si>
  <si>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</si>
  <si>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</si>
  <si>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</si>
  <si>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</si>
  <si>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</si>
  <si>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</si>
  <si>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</si>
  <si>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</si>
  <si>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</si>
  <si>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</si>
  <si>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</si>
  <si>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</si>
  <si>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</si>
  <si>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</si>
  <si>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</si>
  <si>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</si>
  <si>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</si>
  <si>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</si>
  <si>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</si>
  <si>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</si>
  <si>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</si>
  <si>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</si>
  <si>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</si>
  <si>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</si>
  <si>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</si>
  <si>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</si>
  <si>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</si>
  <si>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</si>
  <si>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</si>
  <si>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</si>
  <si>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</si>
  <si>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</si>
  <si>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</si>
  <si>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</si>
  <si>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</si>
  <si>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</si>
  <si>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</si>
  <si>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</si>
  <si>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</si>
  <si>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</si>
  <si>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</si>
  <si>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</si>
  <si>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</si>
  <si>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</si>
  <si>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</si>
  <si>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</si>
  <si>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</si>
  <si>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</si>
  <si>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</si>
  <si>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</si>
  <si>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</si>
  <si>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</si>
  <si>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</si>
  <si>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</si>
  <si>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</si>
  <si>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</si>
  <si>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</si>
  <si>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</si>
  <si>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</si>
  <si>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</si>
  <si>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</si>
  <si>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</si>
  <si>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</si>
  <si>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</si>
  <si>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</si>
  <si>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</si>
  <si>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</si>
  <si>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</si>
  <si>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</si>
  <si>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</si>
  <si>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</si>
  <si>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</si>
  <si>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</si>
  <si>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</si>
  <si>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</si>
  <si>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</si>
  <si>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</si>
  <si>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</si>
  <si>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</si>
  <si>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</si>
  <si>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</si>
  <si>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</si>
  <si>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</si>
  <si>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</si>
  <si>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</si>
  <si>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</si>
  <si>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</si>
  <si>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</si>
  <si>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</si>
  <si>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</si>
  <si>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</si>
  <si>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</si>
  <si>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</si>
  <si>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</si>
  <si>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</si>
  <si>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</si>
  <si>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</si>
  <si>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</si>
  <si>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</si>
  <si>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</si>
  <si>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</si>
  <si>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</si>
  <si>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</si>
  <si>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</si>
  <si>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</si>
  <si>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</si>
  <si>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</si>
  <si>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</si>
  <si>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</si>
  <si>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</si>
  <si>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</si>
  <si>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</si>
  <si>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</si>
  <si>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</si>
  <si>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</si>
  <si>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</si>
  <si>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</si>
  <si>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</si>
  <si>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</si>
  <si>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</si>
  <si>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</si>
  <si>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</si>
  <si>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</si>
  <si>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</si>
  <si>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</si>
  <si>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</si>
  <si>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</si>
  <si>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</si>
  <si>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</si>
  <si>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</si>
  <si>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</si>
  <si>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</si>
  <si>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</si>
  <si>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</si>
  <si>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</si>
  <si>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</si>
  <si>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</si>
  <si>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</si>
  <si>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</si>
  <si>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</si>
  <si>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</si>
  <si>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</si>
  <si>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</si>
  <si>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</si>
  <si>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</si>
  <si>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</si>
  <si>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</si>
  <si>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</si>
  <si>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</si>
  <si>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</si>
  <si>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</si>
  <si>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</si>
  <si>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</si>
  <si>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</si>
  <si>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</si>
  <si>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</si>
  <si>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</si>
  <si>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</si>
  <si>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</si>
  <si>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</si>
  <si>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</si>
  <si>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</si>
  <si>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</si>
  <si>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</si>
  <si>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</si>
  <si>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</si>
  <si>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</si>
  <si>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</si>
  <si>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</si>
  <si>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</si>
  <si>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</si>
  <si>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</si>
  <si>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</si>
  <si>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</si>
  <si>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</si>
  <si>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</si>
  <si>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</si>
  <si>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</si>
  <si>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</si>
  <si>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</si>
  <si>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</si>
  <si>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</si>
  <si>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</si>
  <si>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</si>
  <si>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</si>
  <si>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</si>
  <si>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</si>
  <si>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</si>
  <si>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</si>
  <si>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</si>
  <si>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</si>
  <si>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</si>
  <si>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</si>
  <si>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</si>
  <si>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</si>
  <si>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</si>
  <si>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</si>
  <si>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</si>
  <si>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</si>
  <si>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</si>
  <si>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</si>
  <si>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</si>
  <si>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</si>
  <si>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</si>
  <si>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</si>
  <si>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</si>
  <si>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</si>
  <si>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</si>
  <si>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</si>
  <si>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</si>
  <si>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</si>
  <si>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</si>
  <si>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</si>
  <si>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</si>
  <si>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</si>
  <si>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</si>
  <si>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</si>
  <si>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</si>
  <si>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</si>
  <si>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</si>
  <si>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</si>
  <si>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</si>
  <si>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</si>
  <si>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</si>
  <si>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</si>
  <si>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</si>
  <si>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</si>
  <si>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</si>
  <si>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</si>
  <si>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</si>
  <si>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</si>
  <si>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</si>
  <si>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</si>
  <si>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</si>
  <si>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</si>
  <si>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</si>
  <si>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</si>
  <si>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</si>
  <si>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</si>
  <si>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</si>
  <si>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</si>
  <si>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</si>
  <si>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</si>
  <si>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</si>
  <si>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</si>
  <si>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</si>
  <si>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</si>
  <si>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</si>
  <si>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</si>
  <si>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</si>
  <si>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</si>
  <si>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</si>
  <si>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</si>
  <si>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</si>
  <si>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</si>
  <si>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</si>
  <si>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</si>
  <si>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</si>
  <si>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</si>
  <si>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</si>
  <si>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</si>
  <si>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</si>
  <si>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</si>
  <si>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</si>
  <si>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</si>
  <si>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</si>
  <si>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</si>
  <si>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</si>
  <si>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</si>
  <si>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</si>
  <si>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</si>
  <si>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</si>
  <si>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</si>
  <si>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</si>
  <si>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</si>
  <si>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</si>
  <si>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</si>
  <si>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</si>
  <si>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</si>
  <si>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</si>
  <si>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</si>
  <si>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</si>
  <si>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</si>
  <si>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</si>
  <si>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</si>
  <si>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</si>
  <si>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</si>
  <si>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</si>
  <si>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</si>
  <si>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</si>
  <si>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</si>
  <si>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</si>
  <si>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</si>
  <si>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</si>
  <si>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</si>
  <si>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</si>
  <si>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</si>
  <si>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</si>
  <si>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</si>
  <si>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</si>
  <si>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</si>
  <si>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</si>
  <si>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</si>
  <si>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</si>
  <si>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</si>
  <si>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</si>
  <si>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</si>
  <si>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</si>
  <si>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</si>
  <si>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</si>
  <si>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</si>
  <si>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</si>
  <si>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</si>
  <si>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</si>
  <si>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</si>
  <si>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</si>
  <si>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</si>
  <si>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</si>
  <si>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</si>
  <si>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</si>
  <si>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</si>
  <si>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</si>
  <si>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</si>
  <si>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</si>
  <si>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</si>
  <si>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</si>
  <si>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</si>
  <si>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</si>
  <si>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</si>
  <si>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</si>
  <si>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</si>
  <si>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</si>
  <si>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</si>
  <si>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</si>
  <si>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</si>
  <si>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</si>
  <si>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</si>
  <si>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</si>
  <si>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</si>
  <si>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</si>
  <si>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</si>
  <si>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</si>
  <si>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</si>
  <si>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</si>
  <si>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</si>
  <si>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</si>
  <si>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</si>
  <si>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</si>
  <si>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</si>
  <si>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</si>
  <si>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</si>
  <si>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</si>
  <si>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</si>
  <si>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</si>
  <si>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</si>
  <si>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</si>
  <si>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</si>
  <si>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</si>
  <si>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</si>
  <si>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</si>
  <si>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</si>
  <si>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</si>
  <si>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</si>
  <si>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</si>
  <si>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</si>
  <si>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</si>
  <si>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</si>
  <si>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</si>
  <si>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</si>
  <si>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</si>
  <si>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</si>
  <si>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</si>
  <si>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</si>
  <si>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</si>
  <si>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</si>
  <si>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</si>
  <si>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</si>
  <si>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</si>
  <si>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</si>
  <si>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</si>
  <si>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</si>
  <si>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</si>
  <si>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</si>
  <si>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</si>
  <si>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</si>
  <si>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</si>
  <si>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</si>
  <si>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</si>
  <si>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</si>
  <si>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</si>
  <si>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</si>
  <si>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</si>
  <si>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</si>
  <si>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</si>
  <si>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</si>
  <si>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</si>
  <si>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</si>
  <si>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</si>
  <si>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</si>
  <si>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</si>
  <si>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</si>
  <si>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</si>
  <si>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</si>
  <si>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</si>
  <si>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</si>
  <si>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</si>
  <si>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</si>
  <si>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</si>
  <si>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</si>
  <si>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</si>
  <si>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</si>
  <si>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</si>
  <si>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</si>
  <si>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</si>
  <si>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</si>
  <si>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</si>
  <si>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</si>
  <si>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</si>
  <si>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</si>
  <si>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</si>
  <si>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</si>
  <si>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</si>
  <si>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</si>
  <si>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</si>
  <si>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</si>
  <si>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</si>
  <si>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</si>
  <si>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</si>
  <si>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</si>
  <si>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</si>
  <si>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</si>
  <si>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</si>
  <si>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</si>
  <si>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</si>
  <si>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</si>
  <si>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</si>
  <si>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</si>
  <si>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</si>
  <si>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</si>
  <si>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</si>
  <si>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</si>
  <si>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</si>
  <si>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</si>
  <si>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</si>
  <si>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</si>
  <si>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</si>
  <si>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</si>
  <si>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</si>
  <si>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</si>
  <si>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</si>
  <si>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</si>
  <si>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</si>
  <si>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</si>
  <si>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</si>
  <si>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</si>
  <si>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</si>
  <si>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</si>
  <si>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</si>
  <si>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</si>
  <si>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</si>
  <si>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</si>
  <si>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</si>
  <si>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</si>
  <si>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</si>
  <si>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</si>
  <si>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</si>
  <si>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</si>
  <si>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</si>
  <si>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</si>
  <si>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</si>
  <si>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</si>
  <si>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</si>
  <si>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</si>
  <si>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</si>
  <si>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</si>
  <si>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</si>
  <si>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</si>
  <si>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</si>
  <si>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</si>
  <si>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</si>
  <si>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</si>
  <si>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</si>
  <si>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</si>
  <si>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</si>
  <si>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</si>
  <si>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</si>
  <si>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</si>
  <si>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</si>
  <si>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</si>
  <si>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</si>
  <si>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</si>
  <si>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</si>
  <si>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</si>
  <si>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</si>
  <si>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</si>
  <si>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</si>
  <si>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</si>
  <si>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</si>
  <si>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</si>
  <si>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</si>
  <si>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</si>
  <si>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</si>
  <si>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</si>
  <si>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</si>
  <si>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</si>
  <si>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</si>
  <si>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</si>
  <si>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</si>
  <si>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</si>
  <si>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</si>
  <si>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</si>
  <si>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</si>
  <si>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</si>
  <si>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</si>
  <si>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</si>
  <si>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</si>
  <si>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</si>
  <si>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</si>
  <si>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</si>
  <si>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</si>
  <si>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</si>
  <si>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</si>
  <si>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</si>
  <si>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</si>
  <si>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</si>
  <si>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</si>
  <si>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</si>
  <si>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</si>
  <si>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</si>
  <si>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</si>
  <si>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</si>
  <si>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</si>
  <si>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</si>
  <si>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</si>
  <si>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</si>
  <si>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</si>
  <si>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</si>
  <si>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</si>
  <si>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</si>
  <si>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</si>
  <si>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</si>
  <si>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</si>
  <si>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</si>
  <si>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</si>
  <si>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</si>
  <si>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</si>
  <si>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</si>
  <si>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</si>
  <si>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</si>
  <si>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</si>
  <si>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</si>
  <si>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</si>
  <si>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</si>
  <si>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</si>
  <si>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</si>
  <si>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</si>
  <si>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</si>
  <si>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</si>
  <si>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</si>
  <si>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</si>
  <si>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</si>
  <si>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</si>
  <si>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</si>
  <si>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</si>
  <si>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</si>
  <si>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</si>
  <si>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</si>
  <si>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</si>
  <si>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</si>
  <si>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</si>
  <si>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</si>
  <si>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</si>
  <si>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</si>
  <si>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</si>
  <si>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</si>
  <si>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</si>
  <si>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</si>
  <si>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</si>
  <si>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</si>
  <si>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</si>
  <si>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</si>
  <si>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</si>
  <si>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</si>
  <si>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</si>
  <si>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</si>
  <si>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</si>
  <si>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</si>
  <si>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</si>
  <si>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</si>
  <si>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</si>
  <si>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</si>
  <si>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</si>
  <si>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</si>
  <si>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</si>
  <si>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</si>
  <si>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</si>
  <si>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</si>
  <si>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</si>
  <si>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</si>
  <si>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</si>
  <si>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</si>
  <si>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</si>
  <si>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</si>
  <si>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</si>
  <si>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</si>
  <si>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</si>
  <si>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</si>
  <si>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</si>
  <si>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</si>
  <si>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</si>
  <si>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</si>
  <si>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</si>
  <si>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</si>
  <si>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</si>
  <si>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</si>
  <si>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</si>
  <si>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</si>
  <si>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</si>
  <si>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</si>
  <si>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</si>
  <si>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</si>
  <si>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</si>
  <si>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</si>
  <si>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</si>
  <si>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</si>
  <si>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</si>
  <si>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</si>
  <si>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</si>
  <si>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</si>
  <si>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</si>
  <si>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</si>
  <si>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</si>
  <si>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</si>
  <si>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</si>
  <si>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</si>
  <si>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</si>
  <si>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</si>
  <si>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</si>
  <si>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</si>
  <si>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</si>
  <si>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</si>
  <si>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</si>
  <si>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</si>
  <si>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</si>
  <si>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</si>
  <si>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</si>
  <si>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</si>
  <si>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</si>
  <si>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</si>
  <si>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</si>
  <si>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</si>
  <si>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</si>
  <si>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</si>
  <si>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</si>
  <si>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</si>
  <si>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</si>
  <si>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</si>
  <si>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</si>
  <si>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</si>
  <si>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</si>
  <si>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</si>
  <si>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</si>
  <si>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</si>
  <si>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</si>
  <si>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</si>
  <si>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</si>
  <si>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</si>
  <si>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</si>
  <si>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</si>
  <si>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</si>
  <si>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</si>
  <si>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</si>
  <si>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</si>
  <si>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</si>
  <si>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</si>
  <si>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</si>
  <si>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</si>
  <si>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</si>
  <si>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</si>
  <si>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</si>
  <si>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</si>
  <si>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</si>
  <si>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</si>
  <si>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</si>
  <si>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</si>
  <si>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</si>
  <si>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</si>
  <si>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</si>
  <si>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</si>
  <si>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</si>
  <si>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</si>
  <si>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</si>
  <si>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</si>
  <si>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</si>
  <si>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</si>
  <si>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</si>
  <si>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</si>
  <si>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</si>
  <si>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</si>
  <si>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</si>
  <si>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</si>
  <si>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</si>
  <si>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</si>
  <si>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</si>
  <si>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</si>
  <si>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</si>
  <si>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</si>
  <si>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</si>
  <si>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</si>
  <si>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</si>
  <si>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</si>
  <si>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</si>
  <si>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</si>
  <si>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</si>
  <si>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</si>
  <si>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</si>
  <si>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</si>
  <si>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</si>
  <si>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</si>
  <si>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</si>
  <si>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</si>
  <si>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</si>
  <si>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</si>
  <si>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</si>
  <si>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</si>
  <si>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</si>
  <si>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</si>
  <si>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</si>
  <si>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</si>
  <si>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</si>
  <si>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</si>
  <si>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</si>
  <si>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</si>
  <si>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</si>
  <si>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</si>
  <si>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</si>
  <si>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</si>
  <si>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</si>
  <si>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</si>
  <si>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</si>
  <si>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</si>
  <si>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</si>
  <si>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</si>
  <si>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</si>
  <si>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</si>
  <si>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</si>
  <si>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</si>
  <si>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</si>
  <si>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</si>
  <si>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</si>
  <si>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</si>
  <si>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</si>
  <si>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</si>
  <si>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</si>
  <si>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</si>
  <si>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</si>
  <si>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</si>
  <si>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</si>
  <si>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</si>
  <si>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</si>
  <si>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</si>
  <si>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</si>
  <si>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</si>
  <si>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</si>
  <si>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</si>
  <si>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</si>
  <si>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</si>
  <si>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</si>
  <si>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</si>
  <si>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</si>
  <si>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</si>
  <si>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</si>
  <si>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</si>
  <si>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</si>
  <si>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</si>
  <si>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</si>
  <si>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</si>
  <si>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</si>
  <si>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</si>
  <si>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</si>
  <si>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</si>
  <si>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</si>
  <si>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</si>
  <si>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</si>
  <si>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</si>
  <si>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</si>
  <si>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</si>
  <si>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</si>
  <si>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</si>
  <si>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</si>
  <si>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</si>
  <si>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</si>
  <si>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</si>
  <si>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</si>
  <si>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</si>
  <si>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</si>
  <si>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</si>
  <si>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</si>
  <si>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</si>
  <si>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</si>
  <si>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</si>
  <si>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</si>
  <si>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</si>
  <si>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</si>
  <si>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</si>
  <si>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</si>
  <si>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</si>
  <si>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</si>
  <si>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</si>
  <si>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</si>
  <si>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</si>
  <si>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</si>
  <si>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</si>
  <si>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</si>
  <si>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</si>
  <si>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</si>
  <si>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</si>
  <si>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</si>
  <si>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</si>
  <si>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</si>
  <si>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</si>
  <si>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</si>
  <si>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</si>
  <si>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</si>
  <si>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</si>
  <si>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</si>
  <si>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</si>
  <si>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</si>
  <si>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</si>
  <si>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</si>
  <si>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</si>
  <si>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</si>
  <si>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</si>
  <si>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</si>
  <si>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</si>
  <si>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</si>
  <si>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</si>
  <si>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</si>
  <si>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</si>
  <si>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</si>
  <si>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</si>
  <si>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</si>
  <si>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</si>
  <si>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</si>
  <si>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</si>
  <si>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</si>
  <si>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</si>
  <si>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</si>
  <si>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</si>
  <si>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</si>
  <si>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</si>
  <si>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</si>
  <si>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</si>
  <si>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</si>
  <si>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</si>
  <si>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</si>
  <si>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</si>
  <si>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</si>
  <si>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</si>
  <si>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</si>
  <si>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</si>
  <si>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</si>
  <si>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</si>
  <si>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</si>
  <si>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</si>
  <si>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</si>
  <si>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</si>
  <si>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</si>
  <si>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</si>
  <si>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</si>
  <si>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</si>
  <si>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</si>
  <si>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</si>
  <si>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</si>
  <si>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</si>
  <si>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</si>
  <si>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</si>
  <si>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</si>
  <si>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</si>
  <si>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</si>
  <si>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</si>
  <si>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</si>
  <si>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</si>
  <si>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</si>
  <si>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</si>
  <si>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</si>
  <si>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</si>
  <si>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</si>
  <si>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</si>
  <si>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</si>
  <si>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</si>
  <si>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</si>
  <si>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</si>
  <si>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</si>
  <si>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</si>
  <si>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</si>
  <si>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</si>
  <si>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</si>
  <si>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</si>
  <si>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</si>
  <si>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</si>
  <si>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</si>
  <si>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</si>
  <si>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</si>
  <si>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</si>
  <si>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</si>
  <si>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</si>
  <si>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</si>
  <si>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</si>
  <si>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</si>
  <si>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</si>
  <si>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</si>
  <si>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</si>
  <si>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</si>
  <si>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</si>
  <si>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</si>
  <si>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</si>
  <si>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</si>
  <si>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</si>
  <si>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</si>
  <si>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</si>
  <si>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</si>
  <si>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</si>
  <si>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</si>
  <si>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</si>
  <si>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</si>
  <si>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</si>
  <si>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</si>
  <si>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</si>
  <si>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</si>
  <si>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</si>
  <si>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</si>
  <si>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</si>
  <si>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</si>
  <si>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</si>
  <si>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</si>
  <si>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</si>
  <si>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</si>
  <si>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</si>
  <si>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</si>
  <si>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</si>
  <si>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</si>
  <si>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</si>
  <si>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</si>
  <si>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</si>
  <si>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</si>
  <si>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</si>
  <si>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</si>
  <si>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</si>
  <si>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</si>
  <si>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</si>
  <si>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</si>
  <si>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</si>
  <si>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</si>
  <si>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</si>
  <si>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</si>
  <si>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</si>
  <si>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</si>
  <si>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</si>
  <si>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</si>
  <si>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</si>
  <si>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</si>
  <si>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</si>
  <si>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</si>
  <si>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</si>
  <si>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</si>
  <si>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</si>
  <si>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</si>
  <si>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</si>
  <si>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</si>
  <si>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</si>
  <si>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</si>
  <si>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</si>
  <si>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</si>
  <si>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</si>
  <si>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</si>
  <si>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</si>
  <si>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</si>
  <si>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</si>
  <si>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</si>
  <si>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</si>
  <si>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</si>
  <si>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</si>
  <si>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</si>
  <si>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</si>
  <si>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</si>
  <si>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</si>
  <si>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</si>
  <si>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</si>
  <si>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</si>
  <si>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</si>
  <si>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</si>
  <si>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</si>
  <si>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</si>
  <si>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</si>
  <si>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</si>
  <si>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</si>
  <si>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</si>
  <si>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</si>
  <si>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</si>
  <si>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</si>
  <si>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</si>
  <si>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</si>
  <si>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</si>
  <si>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</si>
  <si>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</si>
  <si>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</si>
  <si>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</si>
  <si>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</si>
  <si>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</si>
  <si>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</si>
  <si>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</si>
  <si>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</si>
  <si>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</si>
  <si>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</si>
  <si>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</si>
  <si>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</si>
  <si>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</si>
  <si>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</si>
  <si>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</si>
  <si>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</si>
  <si>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</si>
  <si>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</si>
  <si>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</si>
  <si>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</si>
  <si>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</si>
  <si>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</si>
  <si>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</si>
  <si>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</si>
  <si>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</si>
  <si>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</si>
  <si>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</si>
  <si>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</si>
  <si>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</si>
  <si>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</si>
  <si>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</si>
  <si>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</si>
  <si>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</si>
  <si>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</si>
  <si>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</si>
  <si>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</si>
  <si>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</si>
  <si>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</si>
  <si>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</si>
  <si>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</si>
  <si>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</si>
  <si>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</si>
  <si>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</si>
  <si>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</si>
  <si>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</si>
  <si>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</si>
  <si>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</si>
  <si>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</si>
  <si>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</si>
  <si>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</si>
  <si>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</si>
  <si>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</si>
  <si>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</si>
  <si>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</si>
  <si>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</si>
  <si>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</si>
  <si>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</si>
  <si>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</si>
  <si>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</si>
  <si>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</si>
  <si>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</si>
  <si>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</si>
  <si>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</si>
  <si>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</si>
  <si>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</si>
  <si>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</si>
  <si>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</si>
  <si>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</si>
  <si>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</si>
  <si>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</si>
  <si>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</si>
  <si>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</si>
  <si>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</si>
  <si>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</si>
  <si>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</si>
  <si>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</si>
  <si>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</si>
  <si>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</si>
  <si>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</si>
  <si>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</si>
  <si>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</si>
  <si>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</si>
  <si>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</si>
  <si>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</si>
  <si>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</si>
  <si>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</si>
  <si>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</si>
  <si>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</si>
  <si>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</si>
  <si>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</si>
  <si>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</si>
  <si>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</si>
  <si>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</si>
  <si>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</si>
  <si>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</si>
  <si>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</si>
  <si>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</si>
  <si>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</si>
  <si>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</si>
  <si>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</si>
  <si>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</si>
  <si>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</si>
  <si>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</si>
  <si>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</si>
  <si>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</si>
  <si>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</si>
  <si>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</si>
  <si>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</si>
  <si>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</si>
  <si>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</si>
  <si>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</si>
  <si>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</si>
  <si>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</si>
  <si>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</si>
  <si>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</si>
  <si>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</si>
  <si>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</si>
  <si>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</si>
  <si>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</si>
  <si>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</si>
  <si>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</si>
  <si>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</si>
  <si>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</si>
  <si>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</si>
  <si>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</si>
  <si>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</si>
  <si>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</si>
  <si>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</si>
  <si>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</si>
  <si>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</si>
  <si>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</si>
  <si>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</si>
  <si>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</si>
  <si>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</si>
  <si>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</si>
  <si>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</si>
  <si>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</si>
  <si>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</si>
  <si>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</si>
  <si>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</si>
  <si>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</si>
  <si>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</si>
  <si>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</si>
  <si>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</si>
  <si>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</si>
  <si>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</si>
  <si>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</si>
  <si>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</si>
  <si>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</si>
  <si>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</si>
  <si>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</si>
  <si>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</si>
  <si>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</si>
  <si>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</si>
  <si>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</si>
  <si>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</si>
  <si>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</si>
  <si>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</si>
  <si>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</si>
  <si>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</si>
  <si>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</si>
  <si>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</si>
  <si>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</si>
  <si>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</si>
  <si>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</si>
  <si>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</si>
  <si>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</si>
  <si>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</si>
  <si>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</si>
  <si>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</si>
  <si>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</si>
  <si>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</si>
  <si>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</si>
  <si>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</si>
  <si>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</si>
  <si>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</si>
  <si>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</si>
  <si>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</si>
  <si>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</si>
  <si>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</si>
  <si>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</si>
  <si>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</si>
  <si>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</si>
  <si>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</si>
  <si>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</si>
  <si>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</si>
  <si>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</si>
  <si>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</si>
  <si>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</si>
  <si>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</si>
  <si>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</si>
  <si>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</si>
  <si>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</si>
  <si>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</si>
  <si>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</si>
  <si>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</si>
  <si>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</si>
  <si>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</si>
  <si>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</si>
  <si>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</si>
  <si>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</si>
  <si>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</si>
  <si>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</si>
  <si>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</si>
  <si>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</si>
  <si>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</si>
  <si>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</si>
  <si>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</si>
  <si>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</si>
  <si>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</si>
  <si>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</si>
  <si>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</si>
  <si>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</si>
  <si>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</si>
  <si>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</si>
  <si>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</si>
  <si>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</si>
  <si>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</si>
  <si>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</si>
  <si>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</si>
  <si>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</si>
  <si>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</si>
  <si>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</si>
  <si>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</si>
  <si>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</si>
  <si>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</si>
  <si>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</si>
  <si>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</si>
  <si>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</si>
  <si>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</si>
  <si>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</si>
  <si>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</si>
  <si>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</si>
  <si>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</si>
  <si>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</si>
  <si>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</si>
  <si>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</si>
  <si>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</si>
  <si>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</si>
  <si>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</si>
  <si>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</si>
  <si>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</si>
  <si>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</si>
  <si>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</si>
  <si>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</si>
  <si>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</si>
  <si>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</si>
  <si>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</si>
  <si>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</si>
  <si>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</si>
  <si>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</si>
  <si>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</si>
  <si>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</si>
  <si>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</si>
  <si>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</si>
  <si>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</si>
  <si>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</si>
  <si>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</si>
  <si>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</si>
  <si>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</si>
  <si>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</si>
  <si>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</si>
  <si>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</si>
  <si>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</si>
  <si>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</si>
  <si>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</si>
  <si>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</si>
  <si>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</si>
  <si>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</si>
  <si>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</si>
  <si>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</si>
  <si>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</si>
  <si>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</si>
  <si>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</si>
  <si>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</si>
  <si>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</si>
  <si>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</si>
  <si>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</si>
  <si>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</si>
  <si>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</si>
  <si>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</si>
  <si>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</si>
  <si>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</si>
  <si>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</si>
  <si>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</si>
  <si>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</si>
  <si>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</si>
  <si>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</si>
  <si>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</si>
  <si>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</si>
  <si>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</si>
  <si>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</si>
  <si>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</si>
  <si>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</si>
  <si>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</si>
  <si>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</si>
  <si>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</si>
  <si>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</si>
  <si>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</si>
  <si>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</si>
  <si>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</si>
  <si>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</si>
  <si>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</si>
  <si>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</si>
  <si>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</si>
  <si>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</si>
  <si>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</si>
  <si>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</si>
  <si>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</si>
  <si>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</si>
  <si>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</si>
  <si>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</si>
  <si>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</si>
  <si>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</si>
  <si>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</si>
  <si>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</si>
  <si>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</si>
  <si>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</si>
  <si>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</si>
  <si>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</si>
  <si>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</si>
  <si>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</si>
  <si>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</si>
  <si>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</si>
  <si>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</si>
  <si>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</si>
  <si>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</si>
  <si>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</si>
  <si>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</si>
  <si>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</si>
  <si>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</si>
  <si>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</si>
  <si>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</si>
  <si>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</si>
  <si>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</si>
  <si>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</si>
  <si>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</si>
  <si>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</si>
  <si>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</si>
  <si>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</si>
  <si>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</si>
  <si>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</si>
  <si>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</si>
  <si>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</si>
  <si>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</si>
  <si>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</si>
  <si>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</si>
  <si>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</si>
  <si>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</si>
  <si>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</si>
  <si>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</si>
  <si>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</si>
  <si>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</si>
  <si>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</si>
  <si>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</si>
  <si>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</si>
  <si>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</si>
  <si>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</si>
  <si>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</si>
  <si>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</si>
  <si>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</si>
  <si>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</si>
  <si>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</si>
  <si>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</si>
  <si>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</si>
  <si>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</si>
  <si>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</si>
  <si>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</si>
  <si>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</si>
  <si>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</si>
  <si>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</si>
  <si>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</si>
  <si>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</si>
  <si>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</si>
  <si>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</si>
  <si>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</si>
  <si>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</si>
  <si>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</si>
  <si>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</si>
  <si>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</si>
  <si>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</si>
  <si>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</si>
  <si>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</si>
  <si>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</si>
  <si>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</si>
  <si>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</si>
  <si>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</si>
  <si>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</si>
  <si>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</si>
  <si>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</si>
  <si>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</si>
  <si>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</si>
  <si>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</si>
  <si>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</si>
  <si>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</si>
  <si>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</si>
  <si>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</si>
  <si>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</si>
  <si>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</si>
  <si>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</si>
  <si>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</si>
  <si>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</si>
  <si>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</si>
  <si>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</si>
  <si>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</si>
  <si>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</si>
  <si>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</si>
  <si>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</si>
  <si>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</si>
  <si>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</si>
  <si>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</si>
  <si>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</si>
  <si>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</si>
  <si>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</si>
  <si>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</si>
  <si>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</si>
  <si>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</si>
  <si>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</si>
  <si>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</si>
  <si>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</si>
  <si>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</si>
  <si>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</si>
  <si>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</si>
  <si>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</si>
  <si>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</si>
  <si>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</si>
  <si>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</si>
  <si>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</si>
  <si>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</si>
  <si>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</si>
  <si>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</si>
  <si>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</si>
  <si>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</si>
  <si>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</si>
  <si>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</si>
  <si>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</si>
  <si>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</si>
  <si>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</si>
  <si>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</si>
  <si>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</si>
  <si>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</si>
  <si>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</si>
  <si>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</si>
  <si>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</si>
  <si>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</si>
  <si>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</si>
  <si>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</si>
  <si>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</si>
  <si>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</si>
  <si>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</si>
  <si>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</si>
  <si>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</si>
  <si>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</si>
  <si>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</si>
  <si>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</si>
  <si>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</si>
  <si>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</si>
  <si>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</si>
  <si>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</si>
  <si>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</si>
  <si>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</si>
  <si>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</si>
  <si>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</si>
  <si>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</si>
  <si>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</si>
  <si>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</si>
  <si>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</si>
  <si>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</si>
  <si>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</si>
  <si>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</si>
  <si>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</si>
  <si>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</si>
  <si>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</si>
  <si>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</si>
  <si>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</si>
  <si>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</si>
  <si>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</si>
  <si>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</si>
  <si>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</si>
  <si>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</si>
  <si>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</si>
  <si>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</si>
  <si>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</si>
  <si>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</si>
  <si>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</si>
  <si>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</si>
  <si>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</si>
  <si>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</si>
  <si>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</si>
  <si>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</si>
  <si>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</si>
  <si>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</si>
  <si>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</si>
  <si>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</si>
  <si>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</si>
  <si>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</si>
  <si>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</si>
  <si>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</si>
  <si>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</si>
  <si>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</si>
  <si>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</si>
  <si>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</si>
  <si>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</si>
  <si>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</si>
  <si>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</si>
  <si>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</si>
  <si>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</si>
  <si>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</si>
  <si>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</si>
  <si>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</si>
  <si>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</si>
  <si>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</si>
  <si>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</si>
  <si>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</si>
  <si>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</si>
  <si>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</si>
  <si>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</si>
  <si>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</si>
  <si>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</si>
  <si>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</si>
  <si>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</si>
  <si>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</si>
  <si>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</si>
  <si>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</si>
  <si>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</si>
  <si>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</si>
  <si>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</si>
  <si>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</si>
  <si>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</si>
  <si>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</si>
  <si>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</si>
  <si>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</si>
  <si>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</si>
  <si>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</si>
  <si>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</si>
  <si>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</si>
  <si>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</si>
  <si>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</si>
  <si>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</si>
  <si>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</si>
  <si>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</si>
  <si>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</si>
  <si>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</si>
  <si>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</si>
  <si>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</si>
  <si>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</si>
  <si>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</si>
  <si>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</si>
  <si>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</si>
  <si>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</si>
  <si>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</si>
  <si>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</si>
  <si>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</si>
  <si>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</si>
  <si>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</si>
  <si>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</si>
  <si>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</si>
  <si>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</si>
  <si>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</si>
  <si>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</si>
  <si>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</si>
  <si>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</si>
  <si>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</si>
  <si>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</si>
  <si>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</si>
  <si>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</si>
  <si>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</si>
  <si>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</si>
  <si>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</si>
  <si>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</si>
  <si>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</si>
  <si>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</si>
  <si>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</si>
  <si>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</si>
  <si>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</si>
  <si>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</si>
  <si>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</si>
  <si>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</si>
  <si>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</si>
  <si>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</si>
  <si>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</si>
  <si>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</si>
  <si>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</si>
  <si>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</si>
  <si>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</si>
  <si>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</si>
  <si>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</si>
  <si>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</si>
  <si>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</si>
  <si>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</si>
  <si>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</si>
  <si>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</si>
  <si>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</si>
  <si>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</si>
  <si>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</si>
  <si>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</si>
  <si>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</si>
  <si>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</si>
  <si>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</si>
  <si>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</si>
  <si>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</si>
  <si>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</si>
  <si>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</si>
  <si>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</si>
  <si>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</si>
  <si>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</si>
  <si>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</si>
  <si>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</si>
  <si>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</si>
  <si>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</si>
  <si>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</si>
  <si>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</si>
  <si>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</si>
  <si>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</si>
  <si>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</si>
  <si>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</si>
  <si>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</si>
  <si>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</si>
  <si>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</si>
  <si>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</si>
  <si>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</si>
  <si>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</si>
  <si>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</si>
  <si>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</si>
  <si>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</si>
  <si>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</si>
  <si>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</si>
  <si>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</si>
  <si>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</si>
  <si>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</si>
  <si>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</si>
  <si>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</si>
  <si>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</si>
  <si>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</si>
  <si>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</si>
  <si>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</si>
  <si>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</si>
  <si>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</si>
  <si>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</si>
  <si>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</si>
  <si>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</si>
  <si>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</si>
  <si>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</si>
  <si>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</si>
  <si>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</si>
  <si>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</si>
  <si>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</si>
  <si>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</si>
  <si>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</si>
  <si>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</si>
  <si>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</si>
  <si>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</si>
  <si>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</si>
  <si>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</si>
  <si>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</si>
  <si>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</si>
  <si>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</si>
  <si>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</si>
  <si>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</si>
  <si>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</si>
  <si>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</si>
  <si>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</si>
  <si>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</si>
  <si>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</si>
  <si>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</si>
  <si>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</si>
  <si>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</si>
  <si>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</si>
  <si>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</si>
  <si>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</si>
  <si>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</si>
  <si>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</si>
  <si>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</si>
  <si>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</si>
  <si>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</si>
  <si>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</si>
  <si>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</si>
  <si>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</si>
  <si>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</si>
  <si>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</si>
  <si>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</si>
  <si>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</si>
  <si>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</si>
  <si>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</si>
  <si>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</si>
  <si>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</si>
  <si>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</si>
  <si>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</si>
  <si>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</si>
  <si>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</si>
  <si>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</si>
  <si>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</si>
  <si>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</si>
  <si>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</si>
  <si>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</si>
  <si>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</si>
  <si>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</si>
  <si>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</si>
  <si>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</si>
  <si>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</si>
  <si>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</si>
  <si>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</si>
  <si>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</si>
  <si>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</si>
  <si>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</si>
  <si>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</si>
  <si>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</si>
  <si>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</si>
  <si>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</si>
  <si>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</si>
  <si>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</si>
  <si>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</si>
  <si>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</si>
  <si>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</si>
  <si>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</si>
  <si>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</si>
  <si>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</si>
  <si>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</si>
  <si>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</si>
  <si>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</si>
  <si>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</si>
  <si>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</si>
  <si>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</si>
  <si>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</si>
  <si>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</si>
  <si>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</si>
  <si>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</si>
  <si>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</si>
  <si>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</si>
  <si>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</si>
  <si>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</si>
  <si>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</si>
  <si>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</si>
  <si>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</si>
  <si>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</si>
  <si>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</si>
  <si>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</si>
  <si>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</si>
  <si>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</si>
  <si>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</si>
  <si>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</si>
  <si>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</si>
  <si>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</si>
  <si>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</si>
  <si>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</si>
  <si>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</si>
  <si>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</si>
  <si>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</si>
  <si>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</si>
  <si>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</si>
  <si>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</si>
  <si>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</si>
  <si>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</si>
  <si>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</si>
  <si>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</si>
  <si>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</si>
  <si>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</si>
  <si>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</si>
  <si>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</si>
  <si>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</si>
  <si>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</si>
  <si>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</si>
  <si>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</si>
  <si>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</si>
  <si>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</si>
  <si>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</si>
  <si>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</si>
  <si>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</si>
  <si>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</si>
  <si>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</si>
  <si>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</si>
  <si>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</si>
  <si>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</si>
  <si>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</si>
  <si>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</si>
  <si>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</si>
  <si>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</si>
  <si>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</si>
  <si>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</si>
  <si>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</si>
  <si>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</si>
  <si>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</si>
  <si>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</si>
  <si>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</si>
  <si>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</si>
  <si>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</si>
  <si>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</si>
  <si>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</si>
  <si>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</si>
  <si>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</si>
  <si>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</si>
  <si>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</si>
  <si>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</si>
  <si>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</si>
  <si>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</si>
  <si>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</si>
  <si>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</si>
  <si>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</si>
  <si>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</si>
  <si>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</si>
  <si>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</si>
  <si>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</si>
  <si>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</si>
  <si>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</si>
  <si>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</si>
  <si>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</si>
  <si>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</si>
  <si>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</si>
  <si>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</si>
  <si>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</si>
  <si>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</si>
  <si>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</si>
  <si>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</si>
  <si>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</si>
  <si>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</si>
  <si>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</si>
  <si>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</si>
  <si>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</si>
  <si>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</si>
  <si>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</si>
  <si>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</si>
  <si>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</si>
  <si>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</si>
  <si>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</si>
  <si>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</si>
  <si>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</si>
  <si>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</si>
  <si>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</si>
  <si>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</si>
  <si>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</si>
  <si>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</si>
  <si>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</si>
  <si>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</si>
  <si>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</si>
  <si>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</si>
  <si>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</si>
  <si>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</si>
  <si>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</si>
  <si>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</si>
  <si>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</si>
  <si>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</si>
  <si>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</si>
  <si>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</si>
  <si>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</si>
  <si>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</si>
  <si>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</si>
  <si>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</si>
  <si>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</si>
  <si>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</si>
  <si>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</si>
  <si>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</si>
  <si>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</si>
  <si>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</si>
  <si>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</si>
  <si>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</si>
  <si>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</si>
  <si>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</si>
  <si>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</si>
  <si>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</si>
  <si>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</si>
  <si>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</si>
  <si>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</si>
  <si>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</si>
  <si>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</si>
  <si>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</si>
  <si>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</si>
  <si>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</si>
  <si>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</si>
  <si>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</si>
  <si>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</si>
  <si>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</si>
  <si>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</si>
  <si>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</si>
  <si>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</si>
  <si>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</si>
  <si>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</si>
  <si>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</si>
  <si>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</si>
  <si>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</si>
  <si>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</si>
  <si>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</si>
  <si>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</si>
  <si>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</si>
  <si>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</si>
  <si>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</si>
  <si>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</si>
  <si>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</si>
  <si>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</si>
  <si>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</si>
  <si>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</si>
  <si>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</si>
  <si>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</si>
  <si>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</si>
  <si>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</si>
  <si>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</si>
  <si>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</si>
  <si>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</si>
  <si>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</si>
  <si>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</si>
  <si>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</si>
  <si>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</si>
  <si>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</si>
  <si>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</si>
  <si>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</si>
  <si>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</si>
  <si>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</si>
  <si>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</si>
  <si>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</si>
  <si>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</si>
  <si>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</si>
  <si>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</si>
  <si>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</si>
  <si>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</si>
  <si>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</si>
  <si>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</si>
  <si>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</si>
  <si>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</si>
  <si>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</si>
  <si>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</si>
  <si>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</si>
  <si>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</si>
  <si>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</si>
  <si>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</si>
  <si>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</si>
  <si>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</si>
  <si>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</si>
  <si>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</si>
  <si>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</si>
  <si>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</si>
  <si>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</si>
  <si>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</si>
  <si>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</si>
  <si>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</si>
  <si>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</si>
  <si>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</si>
  <si>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</si>
  <si>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</si>
  <si>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</si>
  <si>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</si>
  <si>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</si>
  <si>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</si>
  <si>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</si>
  <si>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</si>
  <si>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</si>
  <si>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</si>
  <si>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</si>
  <si>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</si>
  <si>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</si>
  <si>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</si>
  <si>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</si>
  <si>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</si>
  <si>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</si>
  <si>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</si>
  <si>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</si>
  <si>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</si>
  <si>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</si>
  <si>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</si>
  <si>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</si>
  <si>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</si>
  <si>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</si>
  <si>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</si>
  <si>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</si>
  <si>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</si>
  <si>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</si>
  <si>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</si>
  <si>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</si>
  <si>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</si>
  <si>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</si>
  <si>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</si>
  <si>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</si>
  <si>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</si>
  <si>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</si>
  <si>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</si>
  <si>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</si>
  <si>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</si>
  <si>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</si>
  <si>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</si>
  <si>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</si>
  <si>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</si>
  <si>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</si>
  <si>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</si>
  <si>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</si>
  <si>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</si>
  <si>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</si>
  <si>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</si>
  <si>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</si>
  <si>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</si>
  <si>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</si>
  <si>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</si>
  <si>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</si>
  <si>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</si>
  <si>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</si>
  <si>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</si>
  <si>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</si>
  <si>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</si>
  <si>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</si>
  <si>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</si>
  <si>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</si>
  <si>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</si>
  <si>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</si>
  <si>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</si>
  <si>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</si>
  <si>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</si>
  <si>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</si>
  <si>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</si>
  <si>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</si>
  <si>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</si>
  <si>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</si>
  <si>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</si>
  <si>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</si>
  <si>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</si>
  <si>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</si>
  <si>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</si>
  <si>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</si>
  <si>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</si>
  <si>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</si>
  <si>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</si>
  <si>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</si>
  <si>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</si>
  <si>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</si>
  <si>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</si>
  <si>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</si>
  <si>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</si>
  <si>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</si>
  <si>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</si>
  <si>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</si>
  <si>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</si>
  <si>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</si>
  <si>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</si>
  <si>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</si>
  <si>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</si>
  <si>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</si>
  <si>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</si>
  <si>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</si>
  <si>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</si>
  <si>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</si>
  <si>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</si>
  <si>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</si>
  <si>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</si>
  <si>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</si>
  <si>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</si>
  <si>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</si>
  <si>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</si>
  <si>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</si>
  <si>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</si>
  <si>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</si>
  <si>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</si>
  <si>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</si>
  <si>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</si>
  <si>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</si>
  <si>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</si>
  <si>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</si>
  <si>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</si>
  <si>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</si>
  <si>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</si>
  <si>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</si>
  <si>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</si>
  <si>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</si>
  <si>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</si>
  <si>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</si>
  <si>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</si>
  <si>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</si>
  <si>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</si>
  <si>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</si>
  <si>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</si>
  <si>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</si>
  <si>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</si>
  <si>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</si>
  <si>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</si>
  <si>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</si>
  <si>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</si>
  <si>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</si>
  <si>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</si>
  <si>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</si>
  <si>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</si>
  <si>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</si>
  <si>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</si>
  <si>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</si>
  <si>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</si>
  <si>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</si>
  <si>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</si>
  <si>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</si>
  <si>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</si>
  <si>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</si>
  <si>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</si>
  <si>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</si>
  <si>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</si>
  <si>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</si>
  <si>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</si>
  <si>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</si>
  <si>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</si>
  <si>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</si>
  <si>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</si>
  <si>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</si>
  <si>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</si>
  <si>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</si>
  <si>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</si>
  <si>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</si>
  <si>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</si>
  <si>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</si>
  <si>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</si>
  <si>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</si>
  <si>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</si>
  <si>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</si>
  <si>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</si>
  <si>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</si>
  <si>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</si>
  <si>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</si>
  <si>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</si>
  <si>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</si>
  <si>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</si>
  <si>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</si>
  <si>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</si>
  <si>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</si>
  <si>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</si>
  <si>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</si>
  <si>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</si>
  <si>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</si>
  <si>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</si>
  <si>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</si>
  <si>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</si>
  <si>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</si>
  <si>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</si>
  <si>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</si>
  <si>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</si>
  <si>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</si>
  <si>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</si>
  <si>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</si>
  <si>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</si>
  <si>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</si>
  <si>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</si>
  <si>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</si>
  <si>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</si>
  <si>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</si>
  <si>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</si>
  <si>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</si>
  <si>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</si>
  <si>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</si>
  <si>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</si>
  <si>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</si>
  <si>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</si>
  <si>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</si>
  <si>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</si>
  <si>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</si>
  <si>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</si>
  <si>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</si>
  <si>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</si>
  <si>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</si>
  <si>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</si>
  <si>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</si>
  <si>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</si>
  <si>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</si>
  <si>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</si>
  <si>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</si>
  <si>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</si>
  <si>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</si>
  <si>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</si>
  <si>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</si>
  <si>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</si>
  <si>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</si>
  <si>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</si>
  <si>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</si>
  <si>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</si>
  <si>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</si>
  <si>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</si>
  <si>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</si>
  <si>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</si>
  <si>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</si>
  <si>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</si>
  <si>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</si>
  <si>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</si>
  <si>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</si>
  <si>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</si>
  <si>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</si>
  <si>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</si>
  <si>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</si>
  <si>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</si>
  <si>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</si>
  <si>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</si>
  <si>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</si>
  <si>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</si>
  <si>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</si>
  <si>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</si>
  <si>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</si>
  <si>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</si>
  <si>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</si>
  <si>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</si>
  <si>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</si>
  <si>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</si>
  <si>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</si>
  <si>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</si>
  <si>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</si>
  <si>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</si>
  <si>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</si>
  <si>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</si>
  <si>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</si>
  <si>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</si>
  <si>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</si>
  <si>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</si>
  <si>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</si>
  <si>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</si>
  <si>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</si>
  <si>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</si>
  <si>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</si>
  <si>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</si>
  <si>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</si>
  <si>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</si>
  <si>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</si>
  <si>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</si>
  <si>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</si>
  <si>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</si>
  <si>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</si>
  <si>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</si>
  <si>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</si>
  <si>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</si>
  <si>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</si>
  <si>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</si>
  <si>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</si>
  <si>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</si>
  <si>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</si>
  <si>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</si>
  <si>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</si>
  <si>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</si>
  <si>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</si>
  <si>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</si>
  <si>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</si>
  <si>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</si>
  <si>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</si>
  <si>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</si>
  <si>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</si>
  <si>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</si>
  <si>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</si>
  <si>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</si>
  <si>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</si>
  <si>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</si>
  <si>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</si>
  <si>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</si>
  <si>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</si>
  <si>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</si>
  <si>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</si>
  <si>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</si>
  <si>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</si>
  <si>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</si>
  <si>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</si>
  <si>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</si>
  <si>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</si>
  <si>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</si>
  <si>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</si>
  <si>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</si>
  <si>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</si>
  <si>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</si>
  <si>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</si>
  <si>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</si>
  <si>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</si>
  <si>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</si>
  <si>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</si>
  <si>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</si>
  <si>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</si>
  <si>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</si>
  <si>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</si>
  <si>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</si>
  <si>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</si>
  <si>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</si>
  <si>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</si>
  <si>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</si>
  <si>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</si>
  <si>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</si>
  <si>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</si>
  <si>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</si>
  <si>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</si>
  <si>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</si>
  <si>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</si>
  <si>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</si>
  <si>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</si>
  <si>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</si>
  <si>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</si>
  <si>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</si>
  <si>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</si>
  <si>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</si>
  <si>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</si>
  <si>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</si>
  <si>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</si>
  <si>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</si>
  <si>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</si>
  <si>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</si>
  <si>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</si>
  <si>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</si>
  <si>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</si>
  <si>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</si>
  <si>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</si>
  <si>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</si>
  <si>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</si>
  <si>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</si>
  <si>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</si>
  <si>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</si>
  <si>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</si>
  <si>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</si>
  <si>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</si>
  <si>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</si>
  <si>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</si>
  <si>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</si>
  <si>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</si>
  <si>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</si>
  <si>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</si>
  <si>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</si>
  <si>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</si>
  <si>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</si>
  <si>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</si>
  <si>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</si>
  <si>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</si>
  <si>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</si>
  <si>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</si>
  <si>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</si>
  <si>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</si>
  <si>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</si>
  <si>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</si>
  <si>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</si>
  <si>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</si>
  <si>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</si>
  <si>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</si>
  <si>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</si>
  <si>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</si>
  <si>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</si>
  <si>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</si>
  <si>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</si>
  <si>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</si>
  <si>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</si>
  <si>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</si>
  <si>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</si>
  <si>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</si>
  <si>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</si>
  <si>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</si>
  <si>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</si>
  <si>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</si>
  <si>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</si>
  <si>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</si>
  <si>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</si>
  <si>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</si>
  <si>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</si>
  <si>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</si>
  <si>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</si>
  <si>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</si>
  <si>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</si>
  <si>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</si>
  <si>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</si>
  <si>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</si>
  <si>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</si>
  <si>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</si>
  <si>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</si>
  <si>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</si>
  <si>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</si>
  <si>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</si>
  <si>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</si>
  <si>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</si>
  <si>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</si>
  <si>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</si>
  <si>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</si>
  <si>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</si>
  <si>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</si>
  <si>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</si>
  <si>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</si>
  <si>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</si>
  <si>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</si>
  <si>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</si>
  <si>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</si>
  <si>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</si>
  <si>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</si>
  <si>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</si>
  <si>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</si>
  <si>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</si>
  <si>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</si>
  <si>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</si>
  <si>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</si>
  <si>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</si>
  <si>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</si>
  <si>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</si>
  <si>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</si>
  <si>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</si>
  <si>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</si>
  <si>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</si>
  <si>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</si>
  <si>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</si>
  <si>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</si>
  <si>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</si>
  <si>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</si>
  <si>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</si>
  <si>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</si>
  <si>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</si>
  <si>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</si>
  <si>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</si>
  <si>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</si>
  <si>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</si>
  <si>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</si>
  <si>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</si>
  <si>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</si>
  <si>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</si>
  <si>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</si>
  <si>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</si>
  <si>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</si>
  <si>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</si>
  <si>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</si>
  <si>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</si>
  <si>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</si>
  <si>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</si>
  <si>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</si>
  <si>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</si>
  <si>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</si>
  <si>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</si>
  <si>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</si>
  <si>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</si>
  <si>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</si>
  <si>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</si>
  <si>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</si>
  <si>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</si>
  <si>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</si>
  <si>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</si>
  <si>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</si>
  <si>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</si>
  <si>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</si>
  <si>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</si>
  <si>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</si>
  <si>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</si>
  <si>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</si>
  <si>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</si>
  <si>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</si>
  <si>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</si>
  <si>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</si>
  <si>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</si>
  <si>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</si>
  <si>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</si>
  <si>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</si>
  <si>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</si>
  <si>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</si>
  <si>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</si>
  <si>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</si>
  <si>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</si>
  <si>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</si>
  <si>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</si>
  <si>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</si>
  <si>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</si>
  <si>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</si>
  <si>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</si>
  <si>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</si>
  <si>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</si>
  <si>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</si>
  <si>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</si>
  <si>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</si>
  <si>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</si>
  <si>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</si>
  <si>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</si>
  <si>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</si>
  <si>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</si>
  <si>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</si>
  <si>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</si>
  <si>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</si>
  <si>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</si>
  <si>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</si>
  <si>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</si>
  <si>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</si>
  <si>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</si>
  <si>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</si>
  <si>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</si>
  <si>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</si>
  <si>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</si>
  <si>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</si>
  <si>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</si>
  <si>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</si>
  <si>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</si>
  <si>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</si>
  <si>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</si>
  <si>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</si>
  <si>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</si>
  <si>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</si>
  <si>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</si>
  <si>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</si>
  <si>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</si>
  <si>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</si>
  <si>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</si>
  <si>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</si>
  <si>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</si>
  <si>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</si>
  <si>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</si>
  <si>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</si>
  <si>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</si>
  <si>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</si>
  <si>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</si>
  <si>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</si>
  <si>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</si>
  <si>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</si>
  <si>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</si>
  <si>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</si>
  <si>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</si>
  <si>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</si>
  <si>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</si>
  <si>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</si>
  <si>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</si>
  <si>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</si>
  <si>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</si>
  <si>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</si>
  <si>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</si>
  <si>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</si>
  <si>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</si>
  <si>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</si>
  <si>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</si>
  <si>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</si>
  <si>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</si>
  <si>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</si>
  <si>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</si>
  <si>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</si>
  <si>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</si>
  <si>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</si>
  <si>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</si>
  <si>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</si>
  <si>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</si>
  <si>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</si>
  <si>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</si>
  <si>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</si>
  <si>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</si>
  <si>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</si>
  <si>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</si>
  <si>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</si>
  <si>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</si>
  <si>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</si>
  <si>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</si>
  <si>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</si>
  <si>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</si>
  <si>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</si>
  <si>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</si>
  <si>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</si>
  <si>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</si>
  <si>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</si>
  <si>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</si>
  <si>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</si>
  <si>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</si>
  <si>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</si>
  <si>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</si>
  <si>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</si>
  <si>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</si>
  <si>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</si>
  <si>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</si>
  <si>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</si>
  <si>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</si>
  <si>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</si>
  <si>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</si>
  <si>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</si>
  <si>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</si>
  <si>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</si>
  <si>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</si>
  <si>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</si>
  <si>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</si>
  <si>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</si>
  <si>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</si>
  <si>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</si>
  <si>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</si>
  <si>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</si>
  <si>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</si>
  <si>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</si>
  <si>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</si>
  <si>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</si>
  <si>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</si>
  <si>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</si>
  <si>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</si>
  <si>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</si>
  <si>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</si>
  <si>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</si>
  <si>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</si>
  <si>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</si>
  <si>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</si>
  <si>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</si>
  <si>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</si>
  <si>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</si>
  <si>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</si>
  <si>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</si>
  <si>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</si>
  <si>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</si>
  <si>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</si>
  <si>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</si>
  <si>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</si>
  <si>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</si>
  <si>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</si>
  <si>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</si>
  <si>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</si>
  <si>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</si>
  <si>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</si>
  <si>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</si>
  <si>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</si>
  <si>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</si>
  <si>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</si>
  <si>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</si>
  <si>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</si>
  <si>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</si>
  <si>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</si>
  <si>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</si>
  <si>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</si>
  <si>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</si>
  <si>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</si>
  <si>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</si>
  <si>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</si>
  <si>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</si>
  <si>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</si>
  <si>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</si>
  <si>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</si>
  <si>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</si>
  <si>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</si>
  <si>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</si>
  <si>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</si>
  <si>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</si>
  <si>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</si>
  <si>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</si>
  <si>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</si>
  <si>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</si>
  <si>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</si>
  <si>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</si>
  <si>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</si>
  <si>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</si>
  <si>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</si>
  <si>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</si>
  <si>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</si>
  <si>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</si>
  <si>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</si>
  <si>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</si>
  <si>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</si>
  <si>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</si>
  <si>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</si>
  <si>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</si>
  <si>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</si>
  <si>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</si>
  <si>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</si>
  <si>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</si>
  <si>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</si>
  <si>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</si>
  <si>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</si>
  <si>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</si>
  <si>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</si>
  <si>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</si>
  <si>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</si>
  <si>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</si>
  <si>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</si>
  <si>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</si>
  <si>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</si>
  <si>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</si>
  <si>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</si>
  <si>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</si>
  <si>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</si>
  <si>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</si>
  <si>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</si>
  <si>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</si>
  <si>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</si>
  <si>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</si>
  <si>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</si>
  <si>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</si>
  <si>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</si>
  <si>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</si>
  <si>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</si>
  <si>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</si>
  <si>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</si>
  <si>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</si>
  <si>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</si>
  <si>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</si>
  <si>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</si>
  <si>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</si>
  <si>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</si>
  <si>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</si>
  <si>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</si>
  <si>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</si>
  <si>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</si>
  <si>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</si>
  <si>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</si>
  <si>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</si>
  <si>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</si>
  <si>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</si>
  <si>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</si>
  <si>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</si>
  <si>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</si>
  <si>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</si>
  <si>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</si>
  <si>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</si>
  <si>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</si>
  <si>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</si>
  <si>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</si>
  <si>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</si>
  <si>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</si>
  <si>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</si>
  <si>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</si>
  <si>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</si>
  <si>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</si>
  <si>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</si>
  <si>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</si>
  <si>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</si>
  <si>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</si>
  <si>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</si>
  <si>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</si>
  <si>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</si>
  <si>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</si>
  <si>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</si>
  <si>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</si>
  <si>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</si>
  <si>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</si>
  <si>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</si>
  <si>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</si>
  <si>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</si>
  <si>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</si>
  <si>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</si>
  <si>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</si>
  <si>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</si>
  <si>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</si>
  <si>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</si>
  <si>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</si>
  <si>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</si>
  <si>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</si>
  <si>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</si>
  <si>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</si>
  <si>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</si>
  <si>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</si>
  <si>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</si>
  <si>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</si>
  <si>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</si>
  <si>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</si>
  <si>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</si>
  <si>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</si>
  <si>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</si>
  <si>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</si>
  <si>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</si>
  <si>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</si>
  <si>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</si>
  <si>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</si>
  <si>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</si>
  <si>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</si>
  <si>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</si>
  <si>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</si>
  <si>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</si>
  <si>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</si>
  <si>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</si>
  <si>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</si>
  <si>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</si>
  <si>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</si>
  <si>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</si>
  <si>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</si>
  <si>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</si>
  <si>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</si>
  <si>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</si>
  <si>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</si>
  <si>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</si>
  <si>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</si>
  <si>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</si>
  <si>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</si>
  <si>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</si>
  <si>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</si>
  <si>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</si>
  <si>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</si>
  <si>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</si>
  <si>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</si>
  <si>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</si>
  <si>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</si>
  <si>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</si>
  <si>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</si>
  <si>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</si>
  <si>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</si>
  <si>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</si>
  <si>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</si>
  <si>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</si>
  <si>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</si>
  <si>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</si>
  <si>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</si>
  <si>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</si>
  <si>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</si>
  <si>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</si>
  <si>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</si>
  <si>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</si>
  <si>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</si>
  <si>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</si>
  <si>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</si>
  <si>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</si>
  <si>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</si>
  <si>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</si>
  <si>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</si>
  <si>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</si>
  <si>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</si>
  <si>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</si>
  <si>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</si>
  <si>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</si>
  <si>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</si>
  <si>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</si>
  <si>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</si>
  <si>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</si>
  <si>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</si>
  <si>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</si>
  <si>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</si>
  <si>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</si>
  <si>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</si>
  <si>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</si>
  <si>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</si>
  <si>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</si>
  <si>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</si>
  <si>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</si>
  <si>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</si>
  <si>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</si>
  <si>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</si>
  <si>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</si>
  <si>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</si>
  <si>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</si>
  <si>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</si>
  <si>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</si>
  <si>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</si>
  <si>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</si>
  <si>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</si>
  <si>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</si>
  <si>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</si>
  <si>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</si>
  <si>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</si>
  <si>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</si>
  <si>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</si>
  <si>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</si>
  <si>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</si>
  <si>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</si>
  <si>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</si>
  <si>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</si>
  <si>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</si>
  <si>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</si>
  <si>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</si>
  <si>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</si>
  <si>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</si>
  <si>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</si>
  <si>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</si>
  <si>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</si>
  <si>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</si>
  <si>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</si>
  <si>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</si>
  <si>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</si>
  <si>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</si>
  <si>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</si>
  <si>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</si>
  <si>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</si>
  <si>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</si>
  <si>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</si>
  <si>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</si>
  <si>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</si>
  <si>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</si>
  <si>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</si>
  <si>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</si>
  <si>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</si>
  <si>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</si>
  <si>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</si>
  <si>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</si>
  <si>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</si>
  <si>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</si>
  <si>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</si>
  <si>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</si>
  <si>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</si>
  <si>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</si>
  <si>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</si>
  <si>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</si>
  <si>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</si>
  <si>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</si>
  <si>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</si>
  <si>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</si>
  <si>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</si>
  <si>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</si>
  <si>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</si>
  <si>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</si>
  <si>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</si>
  <si>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</si>
  <si>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</si>
  <si>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</si>
  <si>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</si>
  <si>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</si>
  <si>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</si>
  <si>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</si>
  <si>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</si>
  <si>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</si>
  <si>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</si>
  <si>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</si>
  <si>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</si>
  <si>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</si>
  <si>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</si>
  <si>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</si>
  <si>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</si>
  <si>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</si>
  <si>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</si>
  <si>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</si>
  <si>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</si>
  <si>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</si>
  <si>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</si>
  <si>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</si>
  <si>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</si>
  <si>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</si>
  <si>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</si>
  <si>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</si>
  <si>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</si>
  <si>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</si>
  <si>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</si>
  <si>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</si>
  <si>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</si>
  <si>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</si>
  <si>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</si>
  <si>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</si>
  <si>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</si>
  <si>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</si>
  <si>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</si>
  <si>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</si>
  <si>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</si>
  <si>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</si>
  <si>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</si>
  <si>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</si>
  <si>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</si>
  <si>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</si>
  <si>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</si>
  <si>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</si>
  <si>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</si>
  <si>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</si>
  <si>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</si>
  <si>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</si>
  <si>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</si>
  <si>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</si>
  <si>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</si>
  <si>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</si>
  <si>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</si>
  <si>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</si>
  <si>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</si>
  <si>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</si>
  <si>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</si>
  <si>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</si>
  <si>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</si>
  <si>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</si>
  <si>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</si>
  <si>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</si>
  <si>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</si>
  <si>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</si>
  <si>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</si>
  <si>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</si>
  <si>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</si>
  <si>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</si>
  <si>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</si>
  <si>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</si>
  <si>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</si>
  <si>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</si>
  <si>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</si>
  <si>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</si>
  <si>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</si>
  <si>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</si>
  <si>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</si>
  <si>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</si>
  <si>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</si>
  <si>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</si>
  <si>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</si>
  <si>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</si>
  <si>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</si>
  <si>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</si>
  <si>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</si>
  <si>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</si>
  <si>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</si>
  <si>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</si>
  <si>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</si>
  <si>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</si>
  <si>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</si>
  <si>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</si>
  <si>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</si>
  <si>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</si>
  <si>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</si>
  <si>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</si>
  <si>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</si>
  <si>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</si>
  <si>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</si>
  <si>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</si>
  <si>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</si>
  <si>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</si>
  <si>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</si>
  <si>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</si>
  <si>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</si>
  <si>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</si>
  <si>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</si>
  <si>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</si>
  <si>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</si>
  <si>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</si>
  <si>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</si>
  <si>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</si>
  <si>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</si>
  <si>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</si>
  <si>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</si>
  <si>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</si>
  <si>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</si>
  <si>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</si>
  <si>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</si>
  <si>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</si>
  <si>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</si>
  <si>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</si>
  <si>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</si>
  <si>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</si>
  <si>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</si>
  <si>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</si>
  <si>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</si>
  <si>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</si>
  <si>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</si>
  <si>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</si>
  <si>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</si>
  <si>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</si>
  <si>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</si>
  <si>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</si>
  <si>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</si>
  <si>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</si>
  <si>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</si>
  <si>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</si>
  <si>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</si>
  <si>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</si>
  <si>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</si>
  <si>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</si>
  <si>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</si>
  <si>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</si>
  <si>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</si>
  <si>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</si>
  <si>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</si>
  <si>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</si>
  <si>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</si>
  <si>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</si>
  <si>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</si>
  <si>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</si>
  <si>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</si>
  <si>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</si>
  <si>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</si>
  <si>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</si>
  <si>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</si>
  <si>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</si>
  <si>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</si>
  <si>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</si>
  <si>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</si>
  <si>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</si>
  <si>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</si>
  <si>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</si>
  <si>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</si>
  <si>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</si>
  <si>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</si>
  <si>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</si>
  <si>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</si>
  <si>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</si>
  <si>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</si>
  <si>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</si>
  <si>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</si>
  <si>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</si>
  <si>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</si>
  <si>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</si>
  <si>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</si>
  <si>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</si>
  <si>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</si>
  <si>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</si>
  <si>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</si>
  <si>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</si>
  <si>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</si>
  <si>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</si>
  <si>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</si>
  <si>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</si>
  <si>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</si>
  <si>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</si>
  <si>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</si>
  <si>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</si>
  <si>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</si>
  <si>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</si>
  <si>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</si>
  <si>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</si>
  <si>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</si>
  <si>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</si>
  <si>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</si>
  <si>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</si>
  <si>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</si>
  <si>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</si>
  <si>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</si>
  <si>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</si>
  <si>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</si>
  <si>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</si>
  <si>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</si>
  <si>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</si>
  <si>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</si>
  <si>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</si>
  <si>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</si>
  <si>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</si>
  <si>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</si>
  <si>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</si>
  <si>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</si>
  <si>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</si>
  <si>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</si>
  <si>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</si>
  <si>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</si>
  <si>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</si>
  <si>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</si>
  <si>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</si>
  <si>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</si>
  <si>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</si>
  <si>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</si>
  <si>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</si>
  <si>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</si>
  <si>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</si>
  <si>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</si>
  <si>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</si>
  <si>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</si>
  <si>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</si>
  <si>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</si>
  <si>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</si>
  <si>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</si>
  <si>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</si>
  <si>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</si>
  <si>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</si>
  <si>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</si>
  <si>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</si>
  <si>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</si>
  <si>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</si>
  <si>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</si>
  <si>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</si>
  <si>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</si>
  <si>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</si>
  <si>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</si>
  <si>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</si>
  <si>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</si>
  <si>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</si>
  <si>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</si>
  <si>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</si>
  <si>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</si>
  <si>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</si>
  <si>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</si>
  <si>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</si>
  <si>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</si>
  <si>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</si>
  <si>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</si>
  <si>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</si>
  <si>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</si>
  <si>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</si>
  <si>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</si>
  <si>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</si>
  <si>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</si>
  <si>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</si>
  <si>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</si>
  <si>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</si>
  <si>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</si>
  <si>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</si>
  <si>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</si>
  <si>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</si>
  <si>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</si>
  <si>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</si>
  <si>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</si>
  <si>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</si>
  <si>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</si>
  <si>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</si>
  <si>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</si>
  <si>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</si>
  <si>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</si>
  <si>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</si>
  <si>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</si>
  <si>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</si>
  <si>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</si>
  <si>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</si>
  <si>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</si>
  <si>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</si>
  <si>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</si>
  <si>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</si>
  <si>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</si>
  <si>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</si>
  <si>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</si>
  <si>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</si>
  <si>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</si>
  <si>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</si>
  <si>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</si>
  <si>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</si>
  <si>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</si>
  <si>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</si>
  <si>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</si>
  <si>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</si>
  <si>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</si>
  <si>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</si>
  <si>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</si>
  <si>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</si>
  <si>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</si>
  <si>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</si>
  <si>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</si>
  <si>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</si>
  <si>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</si>
  <si>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</si>
  <si>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</si>
  <si>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</si>
  <si>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</si>
  <si>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</si>
  <si>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</si>
  <si>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</si>
  <si>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</si>
  <si>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</si>
  <si>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</si>
  <si>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</si>
  <si>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</si>
  <si>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</si>
  <si>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</si>
  <si>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</si>
  <si>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</si>
  <si>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</si>
  <si>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</si>
  <si>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</si>
  <si>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</si>
  <si>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</si>
  <si>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</si>
  <si>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</si>
  <si>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</si>
  <si>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</si>
  <si>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</si>
  <si>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</si>
  <si>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</si>
  <si>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</si>
  <si>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</si>
  <si>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</si>
  <si>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</si>
  <si>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</si>
  <si>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</si>
  <si>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</si>
  <si>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</si>
  <si>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</si>
  <si>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</si>
  <si>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</si>
  <si>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</si>
  <si>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</si>
  <si>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</si>
  <si>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</si>
  <si>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</si>
  <si>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</si>
  <si>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</si>
  <si>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</si>
  <si>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</si>
  <si>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</si>
  <si>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</si>
  <si>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</si>
  <si>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</si>
  <si>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</si>
  <si>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</si>
  <si>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</si>
  <si>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</si>
  <si>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</si>
  <si>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</si>
  <si>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</si>
  <si>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</si>
  <si>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</si>
  <si>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</si>
  <si>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</si>
  <si>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</si>
  <si>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</si>
  <si>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</si>
  <si>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</si>
  <si>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</si>
  <si>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</si>
  <si>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</si>
  <si>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</si>
  <si>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</si>
  <si>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</si>
  <si>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</si>
  <si>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</si>
  <si>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</si>
  <si>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</si>
  <si>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</si>
  <si>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</si>
  <si>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</si>
  <si>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</si>
  <si>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</si>
  <si>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</si>
  <si>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</si>
  <si>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</si>
  <si>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</si>
  <si>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</si>
  <si>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</si>
  <si>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</si>
  <si>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</si>
  <si>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</si>
  <si>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</si>
  <si>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</si>
  <si>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</si>
  <si>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</si>
  <si>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</si>
  <si>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</si>
  <si>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</si>
  <si>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</si>
  <si>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</si>
  <si>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</si>
  <si>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</si>
  <si>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</si>
  <si>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</si>
  <si>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</si>
  <si>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</si>
  <si>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</si>
  <si>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</si>
  <si>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</si>
  <si>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</si>
  <si>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</si>
  <si>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</si>
  <si>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</si>
  <si>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</si>
  <si>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</si>
  <si>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</si>
  <si>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</si>
  <si>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</si>
  <si>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</si>
  <si>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</si>
  <si>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</si>
  <si>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</si>
  <si>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</si>
  <si>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</si>
  <si>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</si>
  <si>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</si>
  <si>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</si>
  <si>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</si>
  <si>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</si>
  <si>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</si>
  <si>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</si>
  <si>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</si>
  <si>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</si>
  <si>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</si>
  <si>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</si>
  <si>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</si>
  <si>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</si>
  <si>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</si>
  <si>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</si>
  <si>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</si>
  <si>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</si>
  <si>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</si>
  <si>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</si>
  <si>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</si>
  <si>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</si>
  <si>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</si>
  <si>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</si>
  <si>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</si>
  <si>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</si>
  <si>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</si>
  <si>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</si>
  <si>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</si>
  <si>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</si>
  <si>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</si>
  <si>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</si>
  <si>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</si>
  <si>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</si>
  <si>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</si>
  <si>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</si>
  <si>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</si>
  <si>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</si>
  <si>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</si>
  <si>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</si>
  <si>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</si>
  <si>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</si>
  <si>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</si>
  <si>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</si>
  <si>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</si>
  <si>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</si>
  <si>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</si>
  <si>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</si>
  <si>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</si>
  <si>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</si>
  <si>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</si>
  <si>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</si>
  <si>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</si>
  <si>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</si>
  <si>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</si>
  <si>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</si>
  <si>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</si>
  <si>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</si>
  <si>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</si>
  <si>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</si>
  <si>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</si>
  <si>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</si>
  <si>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</si>
  <si>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</si>
  <si>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</si>
  <si>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</si>
  <si>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</si>
  <si>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</si>
  <si>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</si>
  <si>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</si>
  <si>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</si>
  <si>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</si>
  <si>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</si>
  <si>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</si>
  <si>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</si>
  <si>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</si>
  <si>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</si>
  <si>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</si>
  <si>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</si>
  <si>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</si>
  <si>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</si>
  <si>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</si>
  <si>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</si>
  <si>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</si>
  <si>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</si>
  <si>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</si>
  <si>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</si>
  <si>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</si>
  <si>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</si>
  <si>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</si>
  <si>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</si>
  <si>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</si>
  <si>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</si>
  <si>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</si>
  <si>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</si>
  <si>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</si>
  <si>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</si>
  <si>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</si>
  <si>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</si>
  <si>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</si>
  <si>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</si>
  <si>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</si>
  <si>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</si>
  <si>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</si>
  <si>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</si>
  <si>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</si>
  <si>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</si>
  <si>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</si>
  <si>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</si>
  <si>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</si>
  <si>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</si>
  <si>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</si>
  <si>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</si>
  <si>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</si>
  <si>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</si>
  <si>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</si>
  <si>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</si>
  <si>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</si>
  <si>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</si>
  <si>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</si>
  <si>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</si>
  <si>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</si>
  <si>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</si>
  <si>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</si>
  <si>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</si>
  <si>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</si>
  <si>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</si>
  <si>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</si>
  <si>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</si>
  <si>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</si>
  <si>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</si>
  <si>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</si>
  <si>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</si>
  <si>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</si>
  <si>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</si>
  <si>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</si>
  <si>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</si>
  <si>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</si>
  <si>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</si>
  <si>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</si>
  <si>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</si>
  <si>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</si>
  <si>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</si>
  <si>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</si>
  <si>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</si>
  <si>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</si>
  <si>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</si>
  <si>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</si>
  <si>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</si>
  <si>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</si>
  <si>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</si>
  <si>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</si>
  <si>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</si>
  <si>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</si>
  <si>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</si>
  <si>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</si>
  <si>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</si>
  <si>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</si>
  <si>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</si>
  <si>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</si>
  <si>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</si>
  <si>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</si>
  <si>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</si>
  <si>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</si>
  <si>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</si>
  <si>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</si>
  <si>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</si>
  <si>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</si>
  <si>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</si>
  <si>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</si>
  <si>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</si>
  <si>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</si>
  <si>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</si>
  <si>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</si>
  <si>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</si>
  <si>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</si>
  <si>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</si>
  <si>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</si>
  <si>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</si>
  <si>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</si>
  <si>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</si>
  <si>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</si>
  <si>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</si>
  <si>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</si>
  <si>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</si>
  <si>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</si>
  <si>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</si>
  <si>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</si>
  <si>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</si>
  <si>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</si>
  <si>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</si>
  <si>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</si>
  <si>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</si>
  <si>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</si>
  <si>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</si>
  <si>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</si>
  <si>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</si>
  <si>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</si>
  <si>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</si>
  <si>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</si>
  <si>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</si>
  <si>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</si>
  <si>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</si>
  <si>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</si>
  <si>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</si>
  <si>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</si>
  <si>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</si>
  <si>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</si>
  <si>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</si>
  <si>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</si>
  <si>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</si>
  <si>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</si>
  <si>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</si>
  <si>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</si>
  <si>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</si>
  <si>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</si>
  <si>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</si>
  <si>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</si>
  <si>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</si>
  <si>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</si>
  <si>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</si>
  <si>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</si>
  <si>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</si>
  <si>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</si>
  <si>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</si>
  <si>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</si>
  <si>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</si>
  <si>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</si>
  <si>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</si>
  <si>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</si>
  <si>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</si>
  <si>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</si>
  <si>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</si>
  <si>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</si>
  <si>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</si>
  <si>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</si>
  <si>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</si>
  <si>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</si>
  <si>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</si>
  <si>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</si>
  <si>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</si>
  <si>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</si>
  <si>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</si>
  <si>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</si>
  <si>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</si>
  <si>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</si>
  <si>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</si>
  <si>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</si>
  <si>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</si>
  <si>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</si>
  <si>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</si>
  <si>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</si>
  <si>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</si>
  <si>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</si>
  <si>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</si>
  <si>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</si>
  <si>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</si>
  <si>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</si>
  <si>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</si>
  <si>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</si>
  <si>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</si>
  <si>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</si>
  <si>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</si>
  <si>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</si>
  <si>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</si>
  <si>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</si>
  <si>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</si>
  <si>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</si>
  <si>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</si>
  <si>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</si>
  <si>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</si>
  <si>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</si>
  <si>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</si>
  <si>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</si>
  <si>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</si>
  <si>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</si>
  <si>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</si>
  <si>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</si>
  <si>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</si>
  <si>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</si>
  <si>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</si>
  <si>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</si>
  <si>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</si>
  <si>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</si>
  <si>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</si>
  <si>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</si>
  <si>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</si>
  <si>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</si>
  <si>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</si>
  <si>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</si>
  <si>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</si>
  <si>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</si>
  <si>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</si>
  <si>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</si>
  <si>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</si>
  <si>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</si>
  <si>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</si>
  <si>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</si>
  <si>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</si>
  <si>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</si>
  <si>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</si>
  <si>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</si>
  <si>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</si>
  <si>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</si>
  <si>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</si>
  <si>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</si>
  <si>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</si>
  <si>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</si>
  <si>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</si>
  <si>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</si>
  <si>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</si>
  <si>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</si>
  <si>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</si>
  <si>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</si>
  <si>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</si>
  <si>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</si>
  <si>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</si>
  <si>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</si>
  <si>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</si>
  <si>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</si>
  <si>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</si>
  <si>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</si>
  <si>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</si>
  <si>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</si>
  <si>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</si>
  <si>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</si>
  <si>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</si>
  <si>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</si>
  <si>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</si>
  <si>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</si>
  <si>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</si>
  <si>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</si>
  <si>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</si>
  <si>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</si>
  <si>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</si>
  <si>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</si>
  <si>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</si>
  <si>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</si>
  <si>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</si>
  <si>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</si>
  <si>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</si>
  <si>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</si>
  <si>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</si>
  <si>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</si>
  <si>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</si>
  <si>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</si>
  <si>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</si>
  <si>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</si>
  <si>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</si>
  <si>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</si>
  <si>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</si>
  <si>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</si>
  <si>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</si>
  <si>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</si>
  <si>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</si>
  <si>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</si>
  <si>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</si>
  <si>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</si>
  <si>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</si>
  <si>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</si>
  <si>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</si>
  <si>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</si>
  <si>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</si>
  <si>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</si>
  <si>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</si>
  <si>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</si>
  <si>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</si>
  <si>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</si>
  <si>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</si>
  <si>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</si>
  <si>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</si>
  <si>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</si>
  <si>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</si>
  <si>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</si>
  <si>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</si>
  <si>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</si>
  <si>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</si>
  <si>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</si>
  <si>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</si>
  <si>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</si>
  <si>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</si>
  <si>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</si>
  <si>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</si>
  <si>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</si>
  <si>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</si>
  <si>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</si>
  <si>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</si>
  <si>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</si>
  <si>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</si>
  <si>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</si>
  <si>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</si>
  <si>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</si>
  <si>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</si>
  <si>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</si>
  <si>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</si>
  <si>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</si>
  <si>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</si>
  <si>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</si>
  <si>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</si>
  <si>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</si>
  <si>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</si>
  <si>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</si>
  <si>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</si>
  <si>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</si>
  <si>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</si>
  <si>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</si>
  <si>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</si>
  <si>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</si>
  <si>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</si>
  <si>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</si>
  <si>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</si>
  <si>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</si>
  <si>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</si>
  <si>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</si>
  <si>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</si>
  <si>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</si>
  <si>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</si>
  <si>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</si>
  <si>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</si>
  <si>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</si>
  <si>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</si>
  <si>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</si>
  <si>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</si>
  <si>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</si>
  <si>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</si>
  <si>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</si>
  <si>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</si>
  <si>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</si>
  <si>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</si>
  <si>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</si>
  <si>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</si>
  <si>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</si>
  <si>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</si>
  <si>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</si>
  <si>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</si>
  <si>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</si>
  <si>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</si>
  <si>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</si>
  <si>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</si>
  <si>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</si>
  <si>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</si>
  <si>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</si>
  <si>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</si>
  <si>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</si>
  <si>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</si>
  <si>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</si>
  <si>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</si>
  <si>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</si>
  <si>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</si>
  <si>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</si>
  <si>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</si>
  <si>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</si>
  <si>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</si>
  <si>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</si>
  <si>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</si>
  <si>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</si>
  <si>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</si>
  <si>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</si>
  <si>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</si>
  <si>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</si>
  <si>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</si>
  <si>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</si>
  <si>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</si>
  <si>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</si>
  <si>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</si>
  <si>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</si>
  <si>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</si>
  <si>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</si>
  <si>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</si>
  <si>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</si>
  <si>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</si>
  <si>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</si>
  <si>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</si>
  <si>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</si>
  <si>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</si>
  <si>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</si>
  <si>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</si>
  <si>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</si>
  <si>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</si>
  <si>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</si>
  <si>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</si>
  <si>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</si>
  <si>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</si>
  <si>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</si>
  <si>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</si>
  <si>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</si>
  <si>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</si>
  <si>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</si>
  <si>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</si>
  <si>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</si>
  <si>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</si>
  <si>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</si>
  <si>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</si>
  <si>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</si>
  <si>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</si>
  <si>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</si>
  <si>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</si>
  <si>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</si>
  <si>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</si>
  <si>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</si>
  <si>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</si>
  <si>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</si>
  <si>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</si>
  <si>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</si>
  <si>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</si>
  <si>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</si>
  <si>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</si>
  <si>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</si>
  <si>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</si>
  <si>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</si>
  <si>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</si>
  <si>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</si>
  <si>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</si>
  <si>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</si>
  <si>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</si>
  <si>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</si>
  <si>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</si>
  <si>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</si>
  <si>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</si>
  <si>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</si>
  <si>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</si>
  <si>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</si>
  <si>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</si>
  <si>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</si>
  <si>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</si>
  <si>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</si>
  <si>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</si>
  <si>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</si>
  <si>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</si>
  <si>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</si>
  <si>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</si>
  <si>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</si>
  <si>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</si>
  <si>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</si>
  <si>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</si>
  <si>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</si>
  <si>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</si>
  <si>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</si>
  <si>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</si>
  <si>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</si>
  <si>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</si>
  <si>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</si>
  <si>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</si>
  <si>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</si>
  <si>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</si>
  <si>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</si>
  <si>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</si>
  <si>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</si>
  <si>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</si>
  <si>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</si>
  <si>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</si>
  <si>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</si>
  <si>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</si>
  <si>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</si>
  <si>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</si>
  <si>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nee [0]</t>
  </si>
  <si>
    <t>Fok met ongerief</t>
  </si>
  <si>
    <t>Fok</t>
  </si>
  <si>
    <t>Ongerief</t>
  </si>
  <si>
    <t>Monitoren</t>
  </si>
  <si>
    <t>Evalueren</t>
  </si>
  <si>
    <t>Genetisch</t>
  </si>
  <si>
    <t>Dieren worden gedood bij het bereiken van ernstige mate van ongerief of op het einde van de fok.</t>
  </si>
  <si>
    <t>Muizen (Mus musculus) [A1]</t>
  </si>
  <si>
    <t>Ratten (Rattus norvegicus) [A2]</t>
  </si>
  <si>
    <t>Instandhouding van kolonies van bestendig genetisch gewijzigde dieren, niet gebruikt in andere procedures [PG43]</t>
  </si>
  <si>
    <t>Kanker is een verzameling van ziektes, die worden gekenmerkt door een ontspoorde groei van cellen waardoor de normale lichaamsfuncties worden verstoord en de patiënt kan komen te overlijden. De missie van ons Instituut is het verminderen van kankerincidentie en het verbeteren van de behandeling van kankerpatiënten. 
Genetisch gewijzigde dieren zijn een onmisbare sleutel tot het onderzoeken van processen die aan de basis liggen van het ontstaan van kanker. Ze dragen eveneens bij aan de ontwikkeling van nieuwe behandelingen. Om deze genetisch gewijzigde lijnen te ontwikkelen, in stand te houden en voldoende dieren te genereren voor de uitvoering van experimenten, is het fokken van deze dieren noodzakelijk. De genetische verandering kan zowel knock-out (volledig uitschakelen van een gen) als knock-in (een extra (trans)gen inbrengen) betreffen. In een aantal gevallen zal de genetische wijziging kunnen leiden tot ontwikkeling van een ziektebeeld en dus mogelijk tot ongerief voor het dier, waarvoor derhalve een projectvergunning vereist is. In de proefdierfaciliteit achten we het fokken en beschikbaar stellen van genetisch gewijzigde proefdieren voor wetenschappelijk onderzoek een essentieel onderdeel van onze activiteiten. Het opzetten van nieuwe foklijnen en het uitbreiden van de fok van een bepaalde lijn gebeurt alleen als er een wetenschappelijke relevantie is. Het merendeel van deze lijnen wordt gebruikt voor onderzoek in het instituut waarvoor reeds goedgekeurde CCD licenties zijn verkregen. Daarom is het noodzakelijk een vergunning aan te vragen voor het fokken van proefdieren met een ziektebeeld, inclusief het fokken van nieuwe lijnen waarvan nog niet is vastgesteld of er een ziektebeeld ontwikkelt dat samenhangt met de genetische verandering.
Wij verwachten dat we hiermee een bijdrage kunnen leveren aan het wetenschappelijk onderzoek in het algemeen en aan het kankeronderzoek binnen ons instituut in het bijzonder.</t>
  </si>
  <si>
    <t>Genetisch gewijzigde dieren zijn een onmisbare sleutel processen te onderzoeken die aan de basis liggen van het ontstaan van kanker. Ze dragen eveneens bij aan de ontwikkeling van nieuwe behandelingen. In dit project worden genetisch gewijzigde muislijnen aangehouden en gefokt voor lopend en toekomstig onderzoek (vergund in andere CCD projecten). Uiteindelijk zal dit onderzoek leiden tot een beter begrip van het ontstaan van kanker en de ontwikkeling van meer doelgerichtere en gepersonaliseerde behandelingen.</t>
  </si>
  <si>
    <t xml:space="preserve">Om de genetische samenstelling van de dieren te onderzoeken kunnen de dieren een kootknip of oorknip ondergaan, of wordt er een kleine hoeveelheid bloed afgenomen. 
De dieren worden ingezet in de fok tot ze maximum 9 maanden tot 1 jaar zijn. Gedurende deze tijd zullen ze maximaal 6 tot 7 nesten krijgen. </t>
  </si>
  <si>
    <t>De fok wordt dusdanig ingericht en uitgevoerd dat het welzijn van de muizen niet of zo beperkt mogelijk wordt aangetast. Echter, door de aanwezige genetische wijziging zal een klein deel (circa 8%) van de dieren mogelijk licht tot matig ongerief ondervinden. De mogelijke negatieve effecten die verwacht worden, zijn voor het merendeel gerelateerd aan het ontstaan van diverse vormen van tumoren (vb. borst- en huidkanker, melanoma en lymfomen enz) zoals vermagering, groeiachterstand en lactatieproblemen. Ook dieren die geen of slecht een beperkt immunsysteem hebben worden vaak gebruikt in kankeronderzoek en kunnen ongerief ondervinden door een verhoogde gevoeligheid aan allerlei infecties. In sommige gevallen zien we lichamelijke afwijkingen, gedragsafwijkingen en epilepsie.</t>
  </si>
  <si>
    <t xml:space="preserve">De fok van lijnen met een mogelijk ziektebeeld  wordt nauwkeurig opgevolgd, zodat er niet onnodig veel dieren gefokt worden. Op regelmatige basis wordt overlegd met de fok coördinatoren of de fokstrategie nog voldoet, zodat het aantal geproduceerde dieren wordt afgestemd op de vraag. Hierbij wordt rekening gehouden met de vereiste genetische samenstelling, het geslacht en de leeftijd. 
Als instituut zetten we sterk in op het invriezen van lijnen met als doel de lijn veilig te stellen voor later gebruik, geen onnodige dieren te fokken en genetische fouten te vermijden. Minimaal twee keer per jaar wordt van alle foklijnen gecontroleerd hoeveel dieren gebruikt zijn in experimenten en wat de toekomstige plannen zijn. Dit wordt besproken met belanghebbenden en van lijnen met een laag gebruikspercentage wordt bekeken of ze gestopt kunnen worden of ingevroren.
</t>
  </si>
  <si>
    <t xml:space="preserve">De muis is bij uitstek de best geschikte en meest gebruikte diersoort voor kankeronderzoek omwille van zijn korte dracht (21 dagen) en relatief eenvoudige genetische aanpassingen. Net zoals mensen zijn het zoogdieren met een gelijkwaardige orgaanstructuur en vertonen ze veel gelijkenissen op vlak van genetische samenstelling. Bovendien is er een enorme hoeveelheid van informatie en data beschikbaar van deze modellen alsook heel wat vergevorderde mogelijkheden om genetische wijzigingen aan te brengen. Daarnaast worden ook ratten gebruikt in ons instituut. Voor sommige tumortypes (vb. hormoongevoelige borstkankers) blijken ratten een beter model te zijn dan muizen. Dieren worden ingezet in fok vanaf 8 weken tot ze ongeveer 9 maanden tot 1 jaar zijn. </t>
  </si>
  <si>
    <t>Er is geen vervanging mogelijk voor de fok met ongerief. Immers, genetisch gewijzigde lijnen met een mogelijk ziektebeeld worden gefokt om een specifiek ziekte weer te geven, wetenschappelijke vragen te beantwoorden en hypotheses te toetsen; in onderzoek naar het ontstaan van kanker en de ontwikkeling van nieuwe behandelmethoden. Dit leidt tot nieuwe inzichten in ziekte processen en eventueel nieuwe behandelingsmethoden voor een specifieke patiënten populatie. Voorafgaand werden vaak al heel wat laboratorium experimenten in reageerbuizen en petrischalen uitgevoerd en zijn dierproeven nodig om te bevestigen dat de hypothese correct is en/of een behandeling een goede kans maakt om een positief effect te bewerkstelligen.</t>
  </si>
  <si>
    <t>Een belangrijk onderdeel van de fokstrategie en koloniebeheer bestaat uit het maximaal beperken van ongerief in verschillende fase van de ontwikkeling en onderhoud van genetisch gewijzigde diermodellen. De fokstrategie wordt zodanig gekozen en/of aangepast dat er zo min mogelijk dieren worden geboren die kans maken op het ontstaan van het ziektebeeld. Van sommige genetische wijzigingen is de leeftijd bekend wanneer het ziektebeeld optreedt. Voordat ongerief kan optreden en bijvoorbeeld tumorvorming het welzijn kan aantasten, wordt de fok stopgezet en de dieren gedood. Dieren die geen of slechts een gedeeltelijk afweer systeem hebben worden altijd gehuisvest in speciaal daarvoor uitgeruste kooien om blootstelling aan ziekteverwekkers zo veel mogelijk te voorkomen. Waar mogelijk maken we ook gebruik van conditionele aanpassingen waarbij de genetische wijziging enkel actief wordt op het moment dat het dier in experiment gaat. Als er voor fok van een gekende lijn met een ziektebeeld al een passende maatregel effectief is bevonden om ongerief te voorkomen of te beperken zal die ook worden toegepast op de nieuwe hieruit afgeleide lijn. Als de dieren niet meer gebruikt kunnen worden in het experiment zullen ze, voordat het een ziektebeeld  optreedt, gedood worden om het ongerief te beperken.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</si>
</sst>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0" xfId="0" applyFont="1" applyAlignment="1">
      <alignment horizontal="left" vertical="top"/>
    </xf>
    <xf numFmtId="0" fontId="1" fillId="0" borderId="26" xfId="0" applyFont="1" applyBorder="1" applyAlignment="1">
      <alignment horizontal="left" vertical="top"/>
    </xf>
    <xf numFmtId="0" fontId="0" fillId="0" borderId="0" xfId="0" applyBorder="1" applyAlignment="1" applyProtection="1">
      <alignment horizontal="center" vertical="top"/>
    </xf>
    <xf numFmtId="0" fontId="0" fillId="0" borderId="16" xfId="0" applyFont="1" applyBorder="1" applyAlignment="1">
      <alignment horizontal="left" vertical="top"/>
    </xf>
    <xf numFmtId="49" fontId="8" fillId="2" borderId="13" xfId="3" applyNumberFormat="1"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protection locked="0"/>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0" fillId="0" borderId="0" xfId="0" applyFont="1" applyBorder="1" applyAlignment="1">
      <alignment horizontal="left" vertical="top"/>
    </xf>
    <xf numFmtId="0" fontId="8" fillId="2" borderId="13" xfId="3" applyFont="1" applyBorder="1" applyAlignment="1" applyProtection="1">
      <alignment horizontal="left" vertical="top"/>
      <protection locked="0"/>
    </xf>
    <xf numFmtId="0" fontId="8" fillId="2" borderId="13" xfId="3" applyFont="1" applyBorder="1" applyAlignment="1" applyProtection="1">
      <alignment horizontal="left" vertical="top" wrapText="1"/>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0" fillId="0" borderId="0" xfId="0" applyNumberFormat="1" applyBorder="1" applyAlignment="1" applyProtection="1">
      <alignment horizontal="left" vertical="top" wrapText="1"/>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16" xfId="0" applyFont="1" applyBorder="1"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1" fillId="0" borderId="0" xfId="0" applyFont="1" applyBorder="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0" fillId="0" borderId="16" xfId="0" applyBorder="1"/>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opLeftCell="C31" zoomScale="85" zoomScaleNormal="85" workbookViewId="0">
      <selection activeCell="C36" sqref="C36:F36"/>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32" t="str">
        <f>UPPER(NTS_title)</f>
        <v>NIET-TECHNISCHE PROJECTSAMENVATTING</v>
      </c>
      <c r="D1" s="132"/>
      <c r="E1" s="132"/>
      <c r="F1" s="132"/>
      <c r="G1" s="32" t="s">
        <v>6</v>
      </c>
      <c r="H1" s="29"/>
    </row>
    <row r="2" spans="1:9" ht="16.149999999999999" customHeight="1" x14ac:dyDescent="0.25">
      <c r="A2" s="5" t="s">
        <v>152</v>
      </c>
      <c r="B2" s="7" t="str">
        <f>IF(TRIM(D2)="","",UPPER(D2))</f>
        <v>NL</v>
      </c>
      <c r="C2" s="11" t="str">
        <f>country_label</f>
        <v>Land</v>
      </c>
      <c r="D2" s="17" t="s">
        <v>55</v>
      </c>
      <c r="E2" s="135"/>
      <c r="F2" s="136"/>
      <c r="G2" s="74" t="s">
        <v>550</v>
      </c>
      <c r="H2" s="29"/>
      <c r="I2" s="30" t="str">
        <f>compulsory_field_tinstr&amp;" "</f>
        <v xml:space="preserve">Verplicht! </v>
      </c>
    </row>
    <row r="3" spans="1:9" ht="16.149999999999999" customHeight="1" x14ac:dyDescent="0.25">
      <c r="A3" s="5" t="s">
        <v>153</v>
      </c>
      <c r="B3" s="7" t="str">
        <f>IF(TRIM(D3)="","",LOWER(D3))</f>
        <v>nl</v>
      </c>
      <c r="C3" s="11" t="str">
        <f>language_label</f>
        <v>Taal</v>
      </c>
      <c r="D3" s="18" t="s">
        <v>28</v>
      </c>
      <c r="E3" s="135"/>
      <c r="F3" s="136"/>
      <c r="G3" s="74" t="s">
        <v>550</v>
      </c>
      <c r="H3" s="29"/>
      <c r="I3" s="30" t="str">
        <f>compulsory_field_tinstr&amp;" "</f>
        <v xml:space="preserve">Verplicht! </v>
      </c>
    </row>
    <row r="4" spans="1:9" s="69" customFormat="1" ht="15" customHeight="1" x14ac:dyDescent="0.25">
      <c r="A4" s="5" t="s">
        <v>509</v>
      </c>
      <c r="B4" s="4">
        <f>IF(TRIM(D4)="","",VALUE(MID(D4,SEARCH("[", D4)+1,SEARCH("]",D4)-SEARCH("[",D4)-1)))</f>
        <v>0</v>
      </c>
      <c r="C4" s="68" t="str">
        <f>euSubmission_label</f>
        <v>Indiening bij EU</v>
      </c>
      <c r="D4" s="67" t="s">
        <v>4952</v>
      </c>
      <c r="E4" s="137"/>
      <c r="F4" s="138"/>
      <c r="G4" s="74" t="s">
        <v>550</v>
      </c>
      <c r="H4" s="29"/>
      <c r="I4" s="30" t="str">
        <f>compulsory_field_tinstr&amp;" "&amp;" "&amp;not_published_instr&amp;" "&amp;euSubmission_instr</f>
        <v>Verplicht!  Veld wordt niet gepubliceerd. Geef aan of het project al dan niet binnen het toepassingsgebied van de richtlijn valt.</v>
      </c>
    </row>
    <row r="5" spans="1:9" x14ac:dyDescent="0.25">
      <c r="A5" s="5" t="s">
        <v>154</v>
      </c>
      <c r="B5" s="7" t="str">
        <f>IF(TRIM(D5)="","",D5)</f>
        <v>Fok met ongerief</v>
      </c>
      <c r="C5" s="11" t="str">
        <f>projectTitle_label</f>
        <v>Naam van het project</v>
      </c>
      <c r="D5" s="124" t="s">
        <v>4953</v>
      </c>
      <c r="E5" s="124"/>
      <c r="F5" s="124"/>
      <c r="G5" s="74" t="s">
        <v>550</v>
      </c>
      <c r="I5" s="30" t="str">
        <f>compulsory_field_tinstr&amp;" "&amp;maxLength_500_tinstr</f>
        <v>Verplicht! Maximale lengte is 500 tekens.</v>
      </c>
    </row>
    <row r="6" spans="1:9" s="69" customFormat="1" x14ac:dyDescent="0.25">
      <c r="A6" s="5" t="s">
        <v>538</v>
      </c>
      <c r="B6" s="7" t="str">
        <f>IF(TRIM(D6)="","",D6)</f>
        <v/>
      </c>
      <c r="C6" s="68" t="str">
        <f>ntsId_label</f>
        <v>NTS-identificatiecode</v>
      </c>
      <c r="D6" s="139"/>
      <c r="E6" s="140"/>
      <c r="F6" s="65"/>
      <c r="G6" s="66"/>
      <c r="H6" s="35"/>
      <c r="I6" s="30" t="str">
        <f>ntsId_instr&amp;" "&amp;ntsId_tinstr</f>
        <v>Unieke, door het centrale EC-systeem toegekende NTS-identificatiecode. Alleen in te vullen wanneer de NTS al in het EC-systeem is opgeslagen.</v>
      </c>
    </row>
    <row r="7" spans="1:9" ht="31.9" customHeight="1" x14ac:dyDescent="0.25">
      <c r="A7" s="5" t="s">
        <v>511</v>
      </c>
      <c r="B7" s="15" t="str">
        <f>IF(TRIM(D7)="","",D7)</f>
        <v/>
      </c>
      <c r="C7" s="107" t="str">
        <f>ntsNationalId_label</f>
        <v>Nationale identificatiecode van de NTS</v>
      </c>
      <c r="D7" s="119"/>
      <c r="E7" s="119"/>
      <c r="F7" s="119"/>
      <c r="H7" s="35"/>
      <c r="I7" s="30" t="str">
        <f>not_published_instr&amp;" "&amp;ntsNationalId_instr&amp;" "&amp;maxLength_500_tinstr</f>
        <v>Veld wordt niet gepubliceerd. Nationale identificatiecode van de NTS Maximale lengte is 500 tekens.</v>
      </c>
    </row>
    <row r="8" spans="1:9" ht="15" customHeight="1" x14ac:dyDescent="0.25">
      <c r="A8" s="5" t="s">
        <v>155</v>
      </c>
      <c r="B8" s="4">
        <f>IF(TRIM(D8)="","",D8)</f>
        <v>60</v>
      </c>
      <c r="C8" s="11" t="str">
        <f>projectDuration_label</f>
        <v>Duur van het project</v>
      </c>
      <c r="D8" s="18">
        <v>60</v>
      </c>
      <c r="E8" s="133" t="str">
        <f>duration_unit_label</f>
        <v>(in maanden)</v>
      </c>
      <c r="F8" s="134"/>
      <c r="G8" s="74" t="s">
        <v>550</v>
      </c>
      <c r="H8" s="35"/>
      <c r="I8" s="30" t="str">
        <f>compulsory_field_tinstr&amp;" "&amp;projectDuration_instr&amp;" "&amp;projectDuration_tinstr</f>
        <v>Verplicht! Duur van het project, uitgedrukt in maanden. Moet een heel getal tussen 1 en 60 zijn!</v>
      </c>
    </row>
    <row r="9" spans="1:9" x14ac:dyDescent="0.25">
      <c r="A9" s="5" t="s">
        <v>514</v>
      </c>
      <c r="B9" s="4" t="s">
        <v>156</v>
      </c>
      <c r="C9" s="114" t="str">
        <f>keywords_label</f>
        <v>Trefwoorden</v>
      </c>
      <c r="D9" s="114"/>
      <c r="E9" s="114"/>
      <c r="F9" s="115"/>
      <c r="G9" s="74" t="s">
        <v>550</v>
      </c>
      <c r="I9" s="30" t="str">
        <f>compulsory_field_tinstr&amp;" "&amp;at_least_one_keyword_mssg</f>
        <v>Verplicht! Er moet ten minste één trefwoord worden ingevoerd!</v>
      </c>
    </row>
    <row r="10" spans="1:9" x14ac:dyDescent="0.25">
      <c r="A10" s="5"/>
      <c r="B10" s="7" t="str">
        <f t="shared" ref="B10:B14" si="0">IF(TRIM(D10)="","",D10)</f>
        <v>Fok</v>
      </c>
      <c r="C10" s="20" t="str">
        <f>keyword_label &amp; " " &amp; 1</f>
        <v>Trefwoord 1</v>
      </c>
      <c r="D10" s="124" t="s">
        <v>4954</v>
      </c>
      <c r="E10" s="124"/>
      <c r="F10" s="124"/>
      <c r="I10" s="30" t="str">
        <f>maxLength_50_tinstr&amp;" "&amp;keyword_tinstr</f>
        <v>Maximale lengte is 50 tekens inclusief spaties. Kan uit meer dan één woord bestaan.</v>
      </c>
    </row>
    <row r="11" spans="1:9" x14ac:dyDescent="0.25">
      <c r="A11" s="5"/>
      <c r="B11" s="7" t="str">
        <f t="shared" si="0"/>
        <v>Ongerief</v>
      </c>
      <c r="C11" s="20" t="str">
        <f>keyword_label &amp; " " &amp; 2</f>
        <v>Trefwoord 2</v>
      </c>
      <c r="D11" s="119" t="s">
        <v>4955</v>
      </c>
      <c r="E11" s="119"/>
      <c r="F11" s="119"/>
      <c r="I11" s="30" t="str">
        <f>maxLength_50_tinstr&amp;" "&amp;keyword_tinstr</f>
        <v>Maximale lengte is 50 tekens inclusief spaties. Kan uit meer dan één woord bestaan.</v>
      </c>
    </row>
    <row r="12" spans="1:9" x14ac:dyDescent="0.25">
      <c r="A12" s="5"/>
      <c r="B12" s="7" t="str">
        <f t="shared" si="0"/>
        <v>Monitoren</v>
      </c>
      <c r="C12" s="20" t="str">
        <f>keyword_label &amp; " " &amp; 3</f>
        <v>Trefwoord 3</v>
      </c>
      <c r="D12" s="119" t="s">
        <v>4956</v>
      </c>
      <c r="E12" s="119"/>
      <c r="F12" s="119"/>
      <c r="I12" s="30" t="str">
        <f>maxLength_50_tinstr&amp;" "&amp;keyword_tinstr</f>
        <v>Maximale lengte is 50 tekens inclusief spaties. Kan uit meer dan één woord bestaan.</v>
      </c>
    </row>
    <row r="13" spans="1:9" x14ac:dyDescent="0.25">
      <c r="A13" s="5"/>
      <c r="B13" s="7" t="str">
        <f t="shared" si="0"/>
        <v>Evalueren</v>
      </c>
      <c r="C13" s="20" t="str">
        <f>keyword_label &amp; " " &amp; 4</f>
        <v>Trefwoord 4</v>
      </c>
      <c r="D13" s="125" t="s">
        <v>4957</v>
      </c>
      <c r="E13" s="125"/>
      <c r="F13" s="125"/>
      <c r="I13" s="30" t="str">
        <f>maxLength_50_tinstr&amp;" "&amp;keyword_tinstr</f>
        <v>Maximale lengte is 50 tekens inclusief spaties. Kan uit meer dan één woord bestaan.</v>
      </c>
    </row>
    <row r="14" spans="1:9" x14ac:dyDescent="0.25">
      <c r="A14" s="5"/>
      <c r="B14" s="7" t="str">
        <f t="shared" si="0"/>
        <v>Genetisch</v>
      </c>
      <c r="C14" s="20" t="str">
        <f>keyword_label &amp; " " &amp; 5</f>
        <v>Trefwoord 5</v>
      </c>
      <c r="D14" s="119" t="s">
        <v>4958</v>
      </c>
      <c r="E14" s="119"/>
      <c r="F14" s="119"/>
      <c r="G14" s="24"/>
      <c r="I14" s="30" t="str">
        <f>maxLength_50_tinstr&amp;" "&amp;keyword_tinstr</f>
        <v>Maximale lengte is 50 tekens inclusief spaties. Kan uit meer dan één woord bestaan.</v>
      </c>
    </row>
    <row r="15" spans="1:9" x14ac:dyDescent="0.25">
      <c r="A15" s="5" t="s">
        <v>515</v>
      </c>
      <c r="C15" s="111" t="str" cm="1">
        <f t="array" ref="C15">projectPurposes_label</f>
        <v>Doel(en) van het project</v>
      </c>
      <c r="D15" s="111"/>
      <c r="E15" s="111"/>
      <c r="F15" s="111"/>
      <c r="G15" s="74" t="s">
        <v>550</v>
      </c>
      <c r="I15" s="30" t="str">
        <f>compulsory_field_tinstr&amp;" "&amp;projectPurposes_tinstr&amp;" "&amp;at_least_one_purpose_mssg</f>
        <v>Verplicht! Vul het blad "Doel van het project” in. Er moet ten minste één doel worden gekozen!</v>
      </c>
    </row>
    <row r="16" spans="1:9" x14ac:dyDescent="0.25">
      <c r="A16" s="5"/>
      <c r="C16" s="114" t="str">
        <f>objectives_and_benefits_label</f>
        <v>Doelstellingen en verwachte voordelen van het project</v>
      </c>
      <c r="D16" s="114"/>
      <c r="E16" s="114"/>
      <c r="F16" s="114"/>
      <c r="G16" s="114"/>
    </row>
    <row r="17" spans="1:9" x14ac:dyDescent="0.25">
      <c r="A17" s="5"/>
      <c r="C17" s="121" t="str">
        <f>projectObjectives_label</f>
        <v>Doelstellingen van het project</v>
      </c>
      <c r="D17" s="121"/>
      <c r="E17" s="121"/>
      <c r="F17" s="121"/>
      <c r="G17" s="74" t="s">
        <v>550</v>
      </c>
    </row>
    <row r="18" spans="1:9" ht="127.5" customHeight="1" x14ac:dyDescent="0.25">
      <c r="A18" s="5" t="s">
        <v>157</v>
      </c>
      <c r="B18" s="15" t="str">
        <f>IF(TRIM(C18)="","",C18)</f>
        <v>Kanker is een verzameling van ziektes, die worden gekenmerkt door een ontspoorde groei van cellen waardoor de normale lichaamsfuncties worden verstoord en de patiënt kan komen te overlijden. De missie van ons Instituut is het verminderen van kankerincidentie en het verbeteren van de behandeling van kankerpatiënten. 
Genetisch gewijzigde dieren zijn een onmisbare sleutel tot het onderzoeken van processen die aan de basis liggen van het ontstaan van kanker. Ze dragen eveneens bij aan de ontwikkeling van nieuwe behandelingen. Om deze genetisch gewijzigde lijnen te ontwikkelen, in stand te houden en voldoende dieren te genereren voor de uitvoering van experimenten, is het fokken van deze dieren noodzakelijk. De genetische verandering kan zowel knock-out (volledig uitschakelen van een gen) als knock-in (een extra (trans)gen inbrengen) betreffen. In een aantal gevallen zal de genetische wijziging kunnen leiden tot ontwikkeling van een ziektebeeld en dus mogelijk tot ongerief voor het dier, waarvoor derhalve een projectvergunning vereist is. In de proefdierfaciliteit achten we het fokken en beschikbaar stellen van genetisch gewijzigde proefdieren voor wetenschappelijk onderzoek een essentieel onderdeel van onze activiteiten. Het opzetten van nieuwe foklijnen en het uitbreiden van de fok van een bepaalde lijn gebeurt alleen als er een wetenschappelijke relevantie is. Het merendeel van deze lijnen wordt gebruikt voor onderzoek in het instituut waarvoor reeds goedgekeurde CCD licenties zijn verkregen. Daarom is het noodzakelijk een vergunning aan te vragen voor het fokken van proefdieren met een ziektebeeld, inclusief het fokken van nieuwe lijnen waarvan nog niet is vastgesteld of er een ziektebeeld ontwikkelt dat samenhangt met de genetische verandering.
Wij verwachten dat we hiermee een bijdrage kunnen leveren aan het wetenschappelijk onderzoek in het algemeen en aan het kankeronderzoek binnen ons instituut in het bijzonder.</v>
      </c>
      <c r="C18" s="118" t="s">
        <v>4963</v>
      </c>
      <c r="D18" s="119"/>
      <c r="E18" s="119"/>
      <c r="F18" s="119"/>
      <c r="H18" s="35" t="str">
        <f>projectObjectives_instr</f>
        <v>Beschrijf de doelstellingen van het project (bijvoorbeeld het aanpakken van bepaalde wetenschappelijke onduidelijkheden, of wetenschappelijke of klinische behoeften).</v>
      </c>
      <c r="I18" s="30" t="str">
        <f>compulsory_field_tinstr&amp;" "&amp;maxLength_2500_tinstr</f>
        <v>Verplicht! Maximale lengte is 2500 tekens.</v>
      </c>
    </row>
    <row r="19" spans="1:9" x14ac:dyDescent="0.25">
      <c r="A19" s="5"/>
      <c r="B19" s="7"/>
      <c r="C19" s="121" t="str">
        <f>potentialBenefits_label</f>
        <v>Potentiële voordelen die dit project kan opleveren</v>
      </c>
      <c r="D19" s="121"/>
      <c r="E19" s="121"/>
      <c r="F19" s="121"/>
      <c r="G19" s="74" t="s">
        <v>550</v>
      </c>
    </row>
    <row r="20" spans="1:9" ht="127.5" customHeight="1" x14ac:dyDescent="0.25">
      <c r="A20" s="5" t="s">
        <v>158</v>
      </c>
      <c r="B20" s="15" t="str">
        <f>IF(TRIM(C20)="","",C20)</f>
        <v>Genetisch gewijzigde dieren zijn een onmisbare sleutel processen te onderzoeken die aan de basis liggen van het ontstaan van kanker. Ze dragen eveneens bij aan de ontwikkeling van nieuwe behandelingen. In dit project worden genetisch gewijzigde muislijnen aangehouden en gefokt voor lopend en toekomstig onderzoek (vergund in andere CCD projecten). Uiteindelijk zal dit onderzoek leiden tot een beter begrip van het ontstaan van kanker en de ontwikkeling van meer doelgerichtere en gepersonaliseerde behandelingen.</v>
      </c>
      <c r="C20" s="118" t="s">
        <v>4964</v>
      </c>
      <c r="D20" s="119"/>
      <c r="E20" s="119"/>
      <c r="F20" s="119"/>
      <c r="H20" s="35" t="str">
        <f>potentialBenefits_instr</f>
        <v>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v>
      </c>
      <c r="I20" s="30" t="str">
        <f>compulsory_field_tinstr&amp;" "&amp;maxLength_2500_tinstr</f>
        <v>Verplicht! Maximale lengte is 2500 tekens.</v>
      </c>
    </row>
    <row r="21" spans="1:9" x14ac:dyDescent="0.25">
      <c r="A21" s="5"/>
      <c r="B21" s="7"/>
      <c r="C21" s="141" t="str" cm="1">
        <f t="array" ref="C21">predicted_harms_label</f>
        <v>Voorspelde schade</v>
      </c>
      <c r="D21" s="141"/>
      <c r="E21" s="141"/>
      <c r="F21" s="141"/>
      <c r="G21" s="141"/>
    </row>
    <row r="22" spans="1:9" x14ac:dyDescent="0.25">
      <c r="A22" s="5"/>
      <c r="B22" s="7"/>
      <c r="C22" s="122" t="str">
        <f>procedures_label</f>
        <v>In welke procedures worden de dieren gewoonlijk gebruikt</v>
      </c>
      <c r="D22" s="122"/>
      <c r="E22" s="122"/>
      <c r="F22" s="122"/>
      <c r="G22" s="74" t="s">
        <v>550</v>
      </c>
    </row>
    <row r="23" spans="1:9" ht="127.5" customHeight="1" x14ac:dyDescent="0.25">
      <c r="A23" s="5" t="s">
        <v>159</v>
      </c>
      <c r="B23" s="15" t="str">
        <f>IF(TRIM(C23)="","",C23)</f>
        <v xml:space="preserve">Om de genetische samenstelling van de dieren te onderzoeken kunnen de dieren een kootknip of oorknip ondergaan, of wordt er een kleine hoeveelheid bloed afgenomen. 
De dieren worden ingezet in de fok tot ze maximum 9 maanden tot 1 jaar zijn. Gedurende deze tijd zullen ze maximaal 6 tot 7 nesten krijgen. </v>
      </c>
      <c r="C23" s="118" t="s">
        <v>4965</v>
      </c>
      <c r="D23" s="119"/>
      <c r="E23" s="119"/>
      <c r="F23" s="119"/>
      <c r="H23" s="35" t="str">
        <f>procedures_instr</f>
        <v>In welke procedures worden de dieren gewoonlijk gebruikt (bijvoorbeeld injecties, chirurgische procedures)? Vermeld het aantal en de duur van deze procedures.</v>
      </c>
      <c r="I23" s="30" t="str">
        <f>compulsory_field_tinstr&amp;" "&amp;maxLength_2500_tinstr</f>
        <v>Verplicht! Maximale lengte is 2500 tekens.</v>
      </c>
    </row>
    <row r="24" spans="1:9" x14ac:dyDescent="0.25">
      <c r="A24" s="5"/>
      <c r="B24" s="7"/>
      <c r="C24" s="117" t="str" cm="1">
        <f t="array" ref="C24">expectedImpacts_label</f>
        <v>Verwachte gevolgen/nadelige effecten voor de dieren</v>
      </c>
      <c r="D24" s="117"/>
      <c r="E24" s="117"/>
      <c r="F24" s="117"/>
      <c r="G24" s="74" t="s">
        <v>550</v>
      </c>
    </row>
    <row r="25" spans="1:9" ht="127.5" customHeight="1" x14ac:dyDescent="0.25">
      <c r="A25" s="5" t="s">
        <v>160</v>
      </c>
      <c r="B25" s="15" t="str">
        <f>IF(TRIM(C25)="","",C25)</f>
        <v>De fok wordt dusdanig ingericht en uitgevoerd dat het welzijn van de muizen niet of zo beperkt mogelijk wordt aangetast. Echter, door de aanwezige genetische wijziging zal een klein deel (circa 8%) van de dieren mogelijk licht tot matig ongerief ondervinden. De mogelijke negatieve effecten die verwacht worden, zijn voor het merendeel gerelateerd aan het ontstaan van diverse vormen van tumoren (vb. borst- en huidkanker, melanoma en lymfomen enz) zoals vermagering, groeiachterstand en lactatieproblemen. Ook dieren die geen of slecht een beperkt immunsysteem hebben worden vaak gebruikt in kankeronderzoek en kunnen ongerief ondervinden door een verhoogde gevoeligheid aan allerlei infecties. In sommige gevallen zien we lichamelijke afwijkingen, gedragsafwijkingen en epilepsie.</v>
      </c>
      <c r="C25" s="118" t="s">
        <v>4966</v>
      </c>
      <c r="D25" s="119"/>
      <c r="E25" s="119"/>
      <c r="F25" s="119"/>
      <c r="H25" s="35" t="str">
        <f>expectedImpacts_instr</f>
        <v>Wat zijn de verwachte gevolgen/nadelige effecten voor de dieren, bijvoorbeeld pijn, gewichtsverlies, inactiviteit/verminderde mobiliteit, stress, abnormaal gedrag, en wat is de duur van die effecten?</v>
      </c>
      <c r="I25" s="30" t="str">
        <f>compulsory_field_tinstr&amp;" "&amp;maxLength_2500_tinstr</f>
        <v>Verplicht! Maximale lengte is 2500 tekens.</v>
      </c>
    </row>
    <row r="26" spans="1:9" ht="65.650000000000006" customHeight="1" x14ac:dyDescent="0.25">
      <c r="A26" s="5" t="s">
        <v>516</v>
      </c>
      <c r="C26" s="112" t="str">
        <f>expectedHarms_label</f>
        <v>Verwachte schade</v>
      </c>
      <c r="D26" s="112"/>
      <c r="E26" s="112"/>
      <c r="F26" s="113"/>
      <c r="G26" s="74" t="s">
        <v>550</v>
      </c>
      <c r="H26" s="35" t="str">
        <f>expectedHarms_instr</f>
        <v>Welke soorten en aantallen dieren zullen naar verwachting worden gebruikt? Wat zijn de verwachte ernstgraden en de aantallen dieren in elke ernstcategorie (per soort)?</v>
      </c>
      <c r="I26" s="30" t="str">
        <f>compulsory_field_tinstr&amp;" "&amp;expectedHarms_tinstr</f>
        <v>Verplicht! Vul het blad "Verwachte schade” in. Gelieve ten minste één rij in te vullen!</v>
      </c>
    </row>
    <row r="27" spans="1:9" ht="30" x14ac:dyDescent="0.25">
      <c r="A27" s="5" t="s">
        <v>517</v>
      </c>
      <c r="C27" s="130" t="str">
        <f>fateList_label</f>
        <v>Lot van in leven gehouden dieren</v>
      </c>
      <c r="D27" s="130"/>
      <c r="E27" s="130"/>
      <c r="F27" s="130"/>
      <c r="G27" s="24"/>
      <c r="H27" s="35" t="str">
        <f>fateList_instr</f>
        <v>Wat gebeurt er met de dieren die aan het einde van de procedure in leven worden gehouden?</v>
      </c>
      <c r="I27" s="30" t="str">
        <f>fateList_tinstr</f>
        <v>Vul het blad "Lot van in leven gehouden dieren" in, indien van toepassing.</v>
      </c>
    </row>
    <row r="28" spans="1:9" x14ac:dyDescent="0.25">
      <c r="C28" s="142" t="str">
        <f>fateReasons_label</f>
        <v>Redenen voor het geplande lot van de dieren na de procedure</v>
      </c>
      <c r="D28" s="142"/>
      <c r="E28" s="142"/>
      <c r="F28" s="142"/>
      <c r="G28" s="74" t="s">
        <v>550</v>
      </c>
    </row>
    <row r="29" spans="1:9" ht="127.5" customHeight="1" x14ac:dyDescent="0.25">
      <c r="A29" s="5" t="s">
        <v>161</v>
      </c>
      <c r="B29" s="15" t="str">
        <f>IF(TRIM(C29)="","",C29)</f>
        <v>Dieren worden gedood bij het bereiken van ernstige mate van ongerief of op het einde van de fok.</v>
      </c>
      <c r="C29" s="118" t="s">
        <v>4959</v>
      </c>
      <c r="D29" s="119"/>
      <c r="E29" s="119"/>
      <c r="F29" s="119"/>
      <c r="H29" s="35" t="str">
        <f>fateReasons_instr</f>
        <v>Geef de redenen voor het geplande lot van de dieren na de procedure.</v>
      </c>
      <c r="I29" s="30" t="str">
        <f>compulsory_field_tinstr&amp;" "&amp;maxLength_2500_tinstr</f>
        <v>Verplicht! Maximale lengte is 2500 tekens.</v>
      </c>
    </row>
    <row r="30" spans="1:9" x14ac:dyDescent="0.25">
      <c r="A30" s="5"/>
      <c r="B30" s="7"/>
      <c r="C30" s="141" t="str">
        <f>application_of_the_three_rs_label</f>
        <v>Toepassing van de drie V’s</v>
      </c>
      <c r="D30" s="141"/>
      <c r="E30" s="141"/>
      <c r="F30" s="141"/>
      <c r="G30" s="141"/>
    </row>
    <row r="31" spans="1:9" x14ac:dyDescent="0.25">
      <c r="A31" s="5"/>
      <c r="B31" s="7"/>
      <c r="C31" s="141" t="str">
        <f>replacement_label</f>
        <v>1. Vervanging</v>
      </c>
      <c r="D31" s="141"/>
      <c r="E31" s="141"/>
      <c r="F31" s="141"/>
      <c r="G31" s="74" t="s">
        <v>550</v>
      </c>
    </row>
    <row r="32" spans="1:9" ht="127.5" customHeight="1" x14ac:dyDescent="0.25">
      <c r="A32" s="5" t="s">
        <v>162</v>
      </c>
      <c r="B32" s="15" t="str">
        <f>IF(TRIM(C32)="","",C32)</f>
        <v>Er is geen vervanging mogelijk voor de fok met ongerief. Immers, genetisch gewijzigde lijnen met een mogelijk ziektebeeld worden gefokt om een specifiek ziekte weer te geven, wetenschappelijke vragen te beantwoorden en hypotheses te toetsen; in onderzoek naar het ontstaan van kanker en de ontwikkeling van nieuwe behandelmethoden. Dit leidt tot nieuwe inzichten in ziekte processen en eventueel nieuwe behandelingsmethoden voor een specifieke patiënten populatie. Voorafgaand werden vaak al heel wat laboratorium experimenten in reageerbuizen en petrischalen uitgevoerd en zijn dierproeven nodig om te bevestigen dat de hypothese correct is en/of een behandeling een goede kans maakt om een positief effect te bewerkstelligen.</v>
      </c>
      <c r="C32" s="118" t="s">
        <v>4969</v>
      </c>
      <c r="D32" s="119"/>
      <c r="E32" s="119"/>
      <c r="F32" s="119"/>
      <c r="H32" s="35" t="str">
        <f>replacement_instr</f>
        <v>Beschrijf welke diervrije alternatieven op dit gebied voorhanden zijn en waarom zij niet voor het project kunnen worden gebruikt.</v>
      </c>
      <c r="I32" s="30" t="str">
        <f>compulsory_field_tinstr&amp;" "&amp;maxLength_2500_tinstr</f>
        <v>Verplicht! Maximale lengte is 2500 tekens.</v>
      </c>
    </row>
    <row r="33" spans="1:9" x14ac:dyDescent="0.25">
      <c r="A33" s="5"/>
      <c r="B33" s="7"/>
      <c r="C33" s="131" t="str">
        <f>reduction_label</f>
        <v>2. Vermindering</v>
      </c>
      <c r="D33" s="131"/>
      <c r="E33" s="131"/>
      <c r="F33" s="131"/>
      <c r="G33" s="74" t="s">
        <v>550</v>
      </c>
    </row>
    <row r="34" spans="1:9" ht="150.75" customHeight="1" x14ac:dyDescent="0.25">
      <c r="A34" s="5" t="s">
        <v>163</v>
      </c>
      <c r="B34" s="15" t="str">
        <f>IF(TRIM(C34)="","",C34)</f>
        <v xml:space="preserve">De fok van lijnen met een mogelijk ziektebeeld  wordt nauwkeurig opgevolgd, zodat er niet onnodig veel dieren gefokt worden. Op regelmatige basis wordt overlegd met de fok coördinatoren of de fokstrategie nog voldoet, zodat het aantal geproduceerde dieren wordt afgestemd op de vraag. Hierbij wordt rekening gehouden met de vereiste genetische samenstelling, het geslacht en de leeftijd. 
Als instituut zetten we sterk in op het invriezen van lijnen met als doel de lijn veilig te stellen voor later gebruik, geen onnodige dieren te fokken en genetische fouten te vermijden. Minimaal twee keer per jaar wordt van alle foklijnen gecontroleerd hoeveel dieren gebruikt zijn in experimenten en wat de toekomstige plannen zijn. Dit wordt besproken met belanghebbenden en van lijnen met een laag gebruikspercentage wordt bekeken of ze gestopt kunnen worden of ingevroren.
</v>
      </c>
      <c r="C34" s="118" t="s">
        <v>4967</v>
      </c>
      <c r="D34" s="119"/>
      <c r="E34" s="119"/>
      <c r="F34" s="119"/>
      <c r="H34" s="35" t="str">
        <f>reduction_instr</f>
        <v>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v>
      </c>
      <c r="I34" s="30" t="str">
        <f>compulsory_field_tinstr&amp;" "&amp;maxLength_2500_tinstr</f>
        <v>Verplicht! Maximale lengte is 2500 tekens.</v>
      </c>
    </row>
    <row r="35" spans="1:9" x14ac:dyDescent="0.25">
      <c r="A35" s="5"/>
      <c r="B35" s="7"/>
      <c r="C35" s="131" t="str">
        <f>refinement_label</f>
        <v>3. Verfijning</v>
      </c>
      <c r="D35" s="131"/>
      <c r="E35" s="131"/>
      <c r="F35" s="131"/>
      <c r="G35" s="74" t="s">
        <v>550</v>
      </c>
    </row>
    <row r="36" spans="1:9" ht="127.5" customHeight="1" x14ac:dyDescent="0.25">
      <c r="A36" s="5" t="s">
        <v>164</v>
      </c>
      <c r="B36" s="15" t="str">
        <f>IF(TRIM(C36)="","",C36)</f>
        <v>Een belangrijk onderdeel van de fokstrategie en koloniebeheer bestaat uit het maximaal beperken van ongerief in verschillende fase van de ontwikkeling en onderhoud van genetisch gewijzigde diermodellen. De fokstrategie wordt zodanig gekozen en/of aangepast dat er zo min mogelijk dieren worden geboren die kans maken op het ontstaan van het ziektebeeld. Van sommige genetische wijzigingen is de leeftijd bekend wanneer het ziektebeeld optreedt. Voordat ongerief kan optreden en bijvoorbeeld tumorvorming het welzijn kan aantasten, wordt de fok stopgezet en de dieren gedood. Dieren die geen of slechts een gedeeltelijk afweer systeem hebben worden altijd gehuisvest in speciaal daarvoor uitgeruste kooien om blootstelling aan ziekteverwekkers zo veel mogelijk te voorkomen. Waar mogelijk maken we ook gebruik van conditionele aanpassingen waarbij de genetische wijziging enkel actief wordt op het moment dat het dier in experiment gaat. Als er voor fok van een gekende lijn met een ziektebeeld al een passende maatregel effectief is bevonden om ongerief te voorkomen of te beperken zal die ook worden toegepast op de nieuwe hieruit afgeleide lijn. Als de dieren niet meer gebruikt kunnen worden in het experiment zullen ze, voordat het een ziektebeeld  optreedt, gedood worden om het ongerief te beperken.</v>
      </c>
      <c r="C36" s="118" t="s">
        <v>4970</v>
      </c>
      <c r="D36" s="119"/>
      <c r="E36" s="119"/>
      <c r="F36" s="119"/>
      <c r="H36" s="35" t="str">
        <f>refinement_instr</f>
        <v>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v>
      </c>
      <c r="I36" s="30" t="str">
        <f>compulsory_field_tinstr&amp;" "&amp;maxLength_2500_tinstr</f>
        <v>Verplicht! Maximale lengte is 2500 tekens.</v>
      </c>
    </row>
    <row r="37" spans="1:9" x14ac:dyDescent="0.25">
      <c r="A37" s="5"/>
      <c r="B37" s="7"/>
      <c r="C37" s="117" t="str">
        <f>speciesChoiceExplanation_label</f>
        <v>Licht de keuze van de soorten en de bijbehorende levensstadia toe</v>
      </c>
      <c r="D37" s="117"/>
      <c r="E37" s="117"/>
      <c r="F37" s="117"/>
      <c r="G37" s="74" t="s">
        <v>550</v>
      </c>
    </row>
    <row r="38" spans="1:9" ht="127.5" customHeight="1" x14ac:dyDescent="0.25">
      <c r="A38" s="5" t="s">
        <v>165</v>
      </c>
      <c r="B38" s="15" t="str">
        <f>IF(TRIM(C38)="","",C38)</f>
        <v xml:space="preserve">De muis is bij uitstek de best geschikte en meest gebruikte diersoort voor kankeronderzoek omwille van zijn korte dracht (21 dagen) en relatief eenvoudige genetische aanpassingen. Net zoals mensen zijn het zoogdieren met een gelijkwaardige orgaanstructuur en vertonen ze veel gelijkenissen op vlak van genetische samenstelling. Bovendien is er een enorme hoeveelheid van informatie en data beschikbaar van deze modellen alsook heel wat vergevorderde mogelijkheden om genetische wijzigingen aan te brengen. Daarnaast worden ook ratten gebruikt in ons instituut. Voor sommige tumortypes (vb. hormoongevoelige borstkankers) blijken ratten een beter model te zijn dan muizen. Dieren worden ingezet in fok vanaf 8 weken tot ze ongeveer 9 maanden tot 1 jaar zijn. </v>
      </c>
      <c r="C38" s="118" t="s">
        <v>4968</v>
      </c>
      <c r="D38" s="119"/>
      <c r="E38" s="119"/>
      <c r="F38" s="119"/>
      <c r="H38" s="35"/>
      <c r="I38" s="30" t="str">
        <f>compulsory_field_tinstr&amp;" "&amp;maxLength_2500_tinstr</f>
        <v>Verplicht! Maximale lengte is 2500 tekens.</v>
      </c>
    </row>
    <row r="39" spans="1:9" ht="30" x14ac:dyDescent="0.25">
      <c r="A39" s="5"/>
      <c r="B39" s="7"/>
      <c r="C39" s="120" t="str">
        <f>project_selected_for_ra_label</f>
        <v>Voor een beoordeling achteraf geselecteerd project</v>
      </c>
      <c r="D39" s="120"/>
      <c r="E39" s="120"/>
      <c r="F39" s="120"/>
      <c r="G39" s="22"/>
      <c r="H39" s="35" t="str">
        <f>compulsory_field_for_some_tinstr</f>
        <v>Van toepassing op de lidstaten waar deze informatie krachtens de wetgeving vereist is</v>
      </c>
      <c r="I39" s="30" t="str">
        <f>to_be_filled_in_by_authority_mssg</f>
        <v>Door de bevoegde autoriteit in te vullen!</v>
      </c>
    </row>
    <row r="40" spans="1:9" x14ac:dyDescent="0.25">
      <c r="A40" s="5" t="s">
        <v>166</v>
      </c>
      <c r="B40" s="4" t="str">
        <f>IF(TRIM(D40)="","",VALUE(MID(D40,SEARCH("[", D40)+1,SEARCH("]",D40)-SEARCH("[",D40)-1)))</f>
        <v/>
      </c>
      <c r="C40" s="16" t="str">
        <f>raSelected_label</f>
        <v>Project geselecteerd voor BA?</v>
      </c>
      <c r="D40" s="19"/>
      <c r="E40" s="126" t="str">
        <f>IF((CONCATENATE(B41,B43,B44,B45,B47)&lt;&gt;"")*AND(B40&lt;&gt;1),inconsistent_value_mssg,"")</f>
        <v/>
      </c>
      <c r="F40" s="127"/>
      <c r="G40" s="74" t="str">
        <f t="shared" ref="G40" si="1">selection_for_RA</f>
        <v>*</v>
      </c>
      <c r="H40" s="35"/>
      <c r="I40" s="30" t="str">
        <f>IF(G40="*", compulsory_field_tinstr, "")</f>
        <v>Verplicht!</v>
      </c>
    </row>
    <row r="41" spans="1:9" x14ac:dyDescent="0.25">
      <c r="A41" s="5" t="s">
        <v>167</v>
      </c>
      <c r="B41" s="26" t="str">
        <f>IF(TRIM(D41)="","",D41)</f>
        <v/>
      </c>
      <c r="C41" s="16" t="str">
        <f>raDeadline_label</f>
        <v>Termijn voor BA</v>
      </c>
      <c r="D41" s="41"/>
      <c r="E41" s="116" t="s">
        <v>63</v>
      </c>
      <c r="F41" s="116"/>
      <c r="G41" s="75" t="str">
        <f>IF($B$40=1,"*","")</f>
        <v/>
      </c>
      <c r="H41" s="35"/>
      <c r="I41" s="30" t="str">
        <f>IF($B$40=1,compulsory_field_tinstr&amp;" "&amp;date_format_tinstr,"")</f>
        <v/>
      </c>
    </row>
    <row r="42" spans="1:9" x14ac:dyDescent="0.25">
      <c r="A42" s="5"/>
      <c r="B42" s="26"/>
      <c r="C42" s="143" t="str">
        <f>ra_reasons_label</f>
        <v>Reden voor de beoordeling achteraf</v>
      </c>
      <c r="D42" s="143"/>
      <c r="E42" s="129"/>
      <c r="F42" s="129"/>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44" t="str">
        <f>severeProcedure_label</f>
        <v>Bevat ernstige procedures</v>
      </c>
      <c r="E43" s="144"/>
      <c r="F43" s="19"/>
      <c r="G43" s="22"/>
    </row>
    <row r="44" spans="1:9" ht="14.25" customHeight="1" x14ac:dyDescent="0.25">
      <c r="A44" s="5" t="s">
        <v>169</v>
      </c>
      <c r="B44" s="6" t="str">
        <f t="shared" si="2"/>
        <v/>
      </c>
      <c r="C44" s="21"/>
      <c r="D44" s="128" t="str">
        <f>nhpUse_label</f>
        <v>Maakt gebruik van niet-menselijke primaten</v>
      </c>
      <c r="E44" s="128"/>
      <c r="F44" s="19" t="s">
        <v>6</v>
      </c>
      <c r="G44" s="22"/>
    </row>
    <row r="45" spans="1:9" x14ac:dyDescent="0.25">
      <c r="A45" s="5" t="s">
        <v>170</v>
      </c>
      <c r="B45" s="6" t="str">
        <f t="shared" si="2"/>
        <v/>
      </c>
      <c r="C45" s="28" t="str">
        <f>IF((B47&lt;&gt;"")*AND(B45&lt;&gt;1),inconsistent_value_mssg,"")</f>
        <v/>
      </c>
      <c r="D45" s="128" t="str">
        <f>other_label</f>
        <v>Andere reden</v>
      </c>
      <c r="E45" s="128"/>
      <c r="F45" s="19"/>
      <c r="G45" s="22"/>
    </row>
    <row r="46" spans="1:9" s="23" customFormat="1" x14ac:dyDescent="0.25">
      <c r="A46" s="5"/>
      <c r="B46" s="6"/>
      <c r="C46" s="122" t="str">
        <f>otherExplanation_label</f>
        <v>Toelichting van de andere reden voor de beoordeling achteraf</v>
      </c>
      <c r="D46" s="122"/>
      <c r="E46" s="122"/>
      <c r="F46" s="122"/>
      <c r="G46" s="22"/>
      <c r="H46" s="35"/>
      <c r="I46" s="30"/>
    </row>
    <row r="47" spans="1:9" ht="57.4" customHeight="1" x14ac:dyDescent="0.25">
      <c r="A47" s="5" t="s">
        <v>171</v>
      </c>
      <c r="B47" s="15" t="str">
        <f>IF(TRIM(C47)="","",C47)</f>
        <v/>
      </c>
      <c r="C47" s="124"/>
      <c r="D47" s="124"/>
      <c r="E47" s="124"/>
      <c r="F47" s="124"/>
      <c r="G47" s="75" t="str">
        <f>IF($B$45=1,"*","")</f>
        <v/>
      </c>
      <c r="I47" s="35" t="str">
        <f>IF(B45=1, compulsory_field_tinstr&amp;" "&amp;maxLength_500_tinstr, "")</f>
        <v/>
      </c>
    </row>
    <row r="48" spans="1:9" x14ac:dyDescent="0.25">
      <c r="C48" s="131" t="str">
        <f>additional_fields_title</f>
        <v>Aanvullende velden</v>
      </c>
      <c r="D48" s="131"/>
      <c r="E48" s="131"/>
      <c r="F48" s="131"/>
      <c r="I48" s="30" t="str">
        <f>additional_fields_tinstr</f>
        <v>Of het specifieke gebied al dan niet van toepassing is, hangt af van de nationale voorschriften.</v>
      </c>
    </row>
    <row r="49" spans="1:9" s="42" customFormat="1" ht="31.9" customHeight="1" x14ac:dyDescent="0.25">
      <c r="A49" s="5" t="s">
        <v>518</v>
      </c>
      <c r="B49" s="15" t="str">
        <f>IF(TRIM(D49)="","",D49)</f>
        <v/>
      </c>
      <c r="C49" s="43" t="str">
        <f>field1_label</f>
        <v>Nationaal veld 1</v>
      </c>
      <c r="D49" s="119"/>
      <c r="E49" s="119"/>
      <c r="F49" s="119"/>
      <c r="G49" s="10"/>
      <c r="H49" s="35"/>
      <c r="I49" s="30" t="str">
        <f>not_published_instr&amp;" "&amp;maxLength_2500_tinstr</f>
        <v>Veld wordt niet gepubliceerd. Maximale lengte is 2500 tekens.</v>
      </c>
    </row>
    <row r="50" spans="1:9" s="42" customFormat="1" ht="31.5" customHeight="1" x14ac:dyDescent="0.25">
      <c r="A50" s="5" t="s">
        <v>519</v>
      </c>
      <c r="B50" s="15" t="str">
        <f t="shared" ref="B50:B51" si="3">IF(TRIM(D50)="","",D50)</f>
        <v/>
      </c>
      <c r="C50" s="43" t="str">
        <f>field2_label</f>
        <v>Nationaal veld 2</v>
      </c>
      <c r="D50" s="119"/>
      <c r="E50" s="119"/>
      <c r="F50" s="119"/>
      <c r="G50" s="10"/>
      <c r="H50" s="35"/>
      <c r="I50" s="30" t="str">
        <f>not_published_instr&amp;" "&amp;maxLength_2500_tinstr</f>
        <v>Veld wordt niet gepubliceerd. Maximale lengte is 2500 tekens.</v>
      </c>
    </row>
    <row r="51" spans="1:9" s="42" customFormat="1" ht="30.4" customHeight="1" x14ac:dyDescent="0.25">
      <c r="A51" s="5" t="s">
        <v>520</v>
      </c>
      <c r="B51" s="15" t="str">
        <f t="shared" si="3"/>
        <v/>
      </c>
      <c r="C51" s="43" t="str">
        <f>field3_label</f>
        <v>Nationaal veld 3</v>
      </c>
      <c r="D51" s="119"/>
      <c r="E51" s="119"/>
      <c r="F51" s="119"/>
      <c r="G51" s="10"/>
      <c r="H51" s="35"/>
      <c r="I51" s="30" t="str">
        <f>not_published_instr&amp;" "&amp;maxLength_2500_tinstr</f>
        <v>Veld wordt niet gepubliceerd. Maximale lengte is 2500 tekens.</v>
      </c>
    </row>
    <row r="52" spans="1:9" s="50" customFormat="1" ht="30.4" customHeight="1" x14ac:dyDescent="0.25">
      <c r="A52" s="5" t="s">
        <v>521</v>
      </c>
      <c r="B52" s="15" t="str">
        <f t="shared" ref="B52:B53" si="4">IF(TRIM(D52)="","",D52)</f>
        <v/>
      </c>
      <c r="C52" s="51" t="str">
        <f>field4_label</f>
        <v>Nationaal veld 4</v>
      </c>
      <c r="D52" s="119"/>
      <c r="E52" s="119"/>
      <c r="F52" s="119"/>
      <c r="G52" s="10"/>
      <c r="H52" s="35"/>
      <c r="I52" s="30" t="str">
        <f>not_published_instr&amp;" "&amp;maxLength_2500_tinstr</f>
        <v>Veld wordt niet gepubliceerd. Maximale lengte is 2500 tekens.</v>
      </c>
    </row>
    <row r="53" spans="1:9" s="50" customFormat="1" ht="30.4" customHeight="1" x14ac:dyDescent="0.25">
      <c r="A53" s="5" t="s">
        <v>522</v>
      </c>
      <c r="B53" s="15" t="str">
        <f t="shared" si="4"/>
        <v/>
      </c>
      <c r="C53" s="51" t="str">
        <f>field5_label</f>
        <v>Nationaal veld 5</v>
      </c>
      <c r="D53" s="119"/>
      <c r="E53" s="119"/>
      <c r="F53" s="119"/>
      <c r="G53" s="10"/>
      <c r="H53" s="35"/>
      <c r="I53" s="30" t="str">
        <f>not_published_instr&amp;" "&amp;maxLength_2500_tinstr</f>
        <v>Veld wordt niet gepubliceerd. Maximale lengte is 2500 tekens.</v>
      </c>
    </row>
    <row r="54" spans="1:9" s="42" customFormat="1" x14ac:dyDescent="0.25">
      <c r="A54" s="5" t="s">
        <v>523</v>
      </c>
      <c r="B54" s="26" t="str">
        <f>IF(TRIM(D54)="","",D54)</f>
        <v/>
      </c>
      <c r="C54" s="43" t="str">
        <f>projectStartDate_label</f>
        <v>Startdatum project</v>
      </c>
      <c r="D54" s="41"/>
      <c r="E54" s="116" t="s">
        <v>63</v>
      </c>
      <c r="F54" s="116"/>
      <c r="G54" s="22" t="str">
        <f>project_start_end_date</f>
        <v/>
      </c>
      <c r="H54" s="35"/>
      <c r="I54" s="30" t="str">
        <f>not_published_instr&amp;" "&amp;date_format_tinstr</f>
        <v>Veld wordt niet gepubliceerd. Formaat dd-mm-jjjj of dd/mm/jjjj afhankelijk van uw systeeminstellingen (bv. 27-05-2022 of 27/05/2022)</v>
      </c>
    </row>
    <row r="55" spans="1:9" s="42" customFormat="1" x14ac:dyDescent="0.25">
      <c r="A55" s="5" t="s">
        <v>524</v>
      </c>
      <c r="B55" s="26" t="str">
        <f>IF(TRIM(D55)="","",D55)</f>
        <v/>
      </c>
      <c r="C55" s="43" t="str">
        <f>projectEndDate_label</f>
        <v>Einddatum project</v>
      </c>
      <c r="D55" s="41"/>
      <c r="E55" s="116" t="s">
        <v>63</v>
      </c>
      <c r="F55" s="116"/>
      <c r="G55" s="22" t="str">
        <f>project_start_end_date</f>
        <v/>
      </c>
      <c r="H55" s="35"/>
      <c r="I55" s="30" t="str">
        <f>not_published_instr&amp;" "&amp;date_format_tinstr</f>
        <v>Veld wordt niet gepubliceerd. Formaat dd-mm-jjjj of dd/mm/jjjj afhankelijk van uw systeeminstellingen (bv. 27-05-2022 of 27/05/2022)</v>
      </c>
    </row>
    <row r="56" spans="1:9" s="42" customFormat="1" x14ac:dyDescent="0.25">
      <c r="A56" s="5" t="s">
        <v>525</v>
      </c>
      <c r="B56" s="26" t="str">
        <f>IF(TRIM(D56)="","",D56)</f>
        <v/>
      </c>
      <c r="C56" s="43" t="str">
        <f>projectApprovalDate_label</f>
        <v>Goedkeuringsdatum project</v>
      </c>
      <c r="D56" s="41"/>
      <c r="E56" s="116" t="s">
        <v>63</v>
      </c>
      <c r="F56" s="116"/>
      <c r="G56" s="22" t="str">
        <f>project_approval_date</f>
        <v/>
      </c>
      <c r="H56" s="35"/>
      <c r="I56" s="30" t="str">
        <f>not_published_instr&amp;" "&amp;to_be_filled_in_by_authority_mssg&amp;" "&amp;date_format_tinstr</f>
        <v>Veld wordt niet gepubliceerd. Door de bevoegde autoriteit in te vullen! Formaat dd-mm-jjjj of dd/mm/jjjj afhankelijk van uw systeeminstellingen (bv. 27-05-2022 of 27/05/2022)</v>
      </c>
    </row>
    <row r="57" spans="1:9" s="42" customFormat="1" x14ac:dyDescent="0.25">
      <c r="A57" s="5" t="s">
        <v>526</v>
      </c>
      <c r="B57" s="7" t="str">
        <f>IF(TRIM(D57)="","",D57)</f>
        <v/>
      </c>
      <c r="C57" s="43" t="str">
        <f>ICD_code_label &amp; " 1"</f>
        <v>ICD-code 1</v>
      </c>
      <c r="D57" s="73"/>
      <c r="E57" s="116" t="s">
        <v>63</v>
      </c>
      <c r="F57" s="116"/>
      <c r="G57" s="22"/>
      <c r="H57" s="35"/>
      <c r="I57" s="30" t="str">
        <f>not_published_instr&amp;" "&amp;ICD_code_instr&amp;" "&amp;ICD_code_tinstr</f>
        <v>Veld wordt niet gepubliceerd. Code internationale classificatie van ziekten (ICD). Tot een nauwkeurigheid van een code van 4 tekens.</v>
      </c>
    </row>
    <row r="58" spans="1:9" x14ac:dyDescent="0.25">
      <c r="A58" s="5" t="s">
        <v>527</v>
      </c>
      <c r="B58" s="7" t="str">
        <f t="shared" ref="B58:B60" si="5">IF(TRIM(D58)="","",D58)</f>
        <v/>
      </c>
      <c r="C58" s="70" t="str">
        <f>ICD_code_label &amp; " 2"</f>
        <v>ICD-code 2</v>
      </c>
      <c r="D58" s="73"/>
      <c r="E58" s="116" t="s">
        <v>63</v>
      </c>
      <c r="F58" s="116"/>
      <c r="G58" s="22"/>
      <c r="H58" s="35"/>
      <c r="I58" s="30" t="str">
        <f>not_published_instr&amp;" "&amp;ICD_code_instr&amp;" "&amp;ICD_code_tinstr</f>
        <v>Veld wordt niet gepubliceerd. Code internationale classificatie van ziekten (ICD). Tot een nauwkeurigheid van een code van 4 tekens.</v>
      </c>
    </row>
    <row r="59" spans="1:9" x14ac:dyDescent="0.25">
      <c r="A59" s="5" t="s">
        <v>528</v>
      </c>
      <c r="B59" s="7" t="str">
        <f t="shared" si="5"/>
        <v/>
      </c>
      <c r="C59" s="70" t="str">
        <f>ICD_code_label &amp; " 3"</f>
        <v>ICD-code 3</v>
      </c>
      <c r="D59" s="73"/>
      <c r="E59" s="116" t="s">
        <v>63</v>
      </c>
      <c r="F59" s="116"/>
      <c r="G59" s="22"/>
      <c r="H59" s="35"/>
      <c r="I59" s="30" t="str">
        <f>not_published_instr&amp;" "&amp;ICD_code_instr&amp;" "&amp;ICD_code_tinstr</f>
        <v>Veld wordt niet gepubliceerd. Code internationale classificatie van ziekten (ICD). Tot een nauwkeurigheid van een code van 4 tekens.</v>
      </c>
    </row>
    <row r="60" spans="1:9" ht="28.9" customHeight="1" x14ac:dyDescent="0.25">
      <c r="A60" s="5" t="s">
        <v>532</v>
      </c>
      <c r="B60" s="15" t="str">
        <f t="shared" si="5"/>
        <v/>
      </c>
      <c r="C60" s="72" t="str">
        <f>ntsPreviousVersionExternalLink_label</f>
        <v>Link naar de eerdere versie van de NTS buiten het EC-systeem</v>
      </c>
      <c r="D60" s="123"/>
      <c r="E60" s="123"/>
      <c r="F60" s="123"/>
      <c r="H60" s="35"/>
      <c r="I60" s="30" t="str">
        <f>ntsPreviousVersionExternalLink_instr&amp;" "&amp;maxLength_500_tinstr</f>
        <v>Te gebruiken in de overgangsperiode waarin de vorige versie van de NTS mogelijk niet in het EC-systeem bestaat. Maximale lengte is 500 tekens.</v>
      </c>
    </row>
  </sheetData>
  <sheetProtection algorithmName="SHA-512" hashValue="uDRICOBZCuVnYo1zba7I+lEJCMUj7Q3r9qPhw/PKfmXJtluuqwrFNbJg4N634cYqvA7GIesGIR4ciVvmBpplqg==" saltValue="P7ElXQfm8iQ58E/p0Ibm1g==" spinCount="100000" sheet="1" selectLockedCells="1"/>
  <mergeCells count="59">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 ref="C21:G21"/>
    <mergeCell ref="C23:F23"/>
    <mergeCell ref="C28:F28"/>
    <mergeCell ref="C29:F29"/>
    <mergeCell ref="C30:G30"/>
    <mergeCell ref="C1:F1"/>
    <mergeCell ref="E8:F8"/>
    <mergeCell ref="D5:F5"/>
    <mergeCell ref="E2:F4"/>
    <mergeCell ref="D6:E6"/>
    <mergeCell ref="D7:F7"/>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abSelected="1" workbookViewId="0">
      <selection activeCell="A3" sqref="A3"/>
    </sheetView>
  </sheetViews>
  <sheetFormatPr defaultRowHeight="15" x14ac:dyDescent="0.25"/>
  <cols>
    <col min="1" max="1" width="108.28515625" customWidth="1"/>
  </cols>
  <sheetData>
    <row r="1" spans="1:1" ht="23.25" x14ac:dyDescent="0.25">
      <c r="A1" s="36" t="str">
        <f>projectPurposes_label</f>
        <v>Doel(en) van het project</v>
      </c>
    </row>
    <row r="2" spans="1:1" ht="15" hidden="1" customHeight="1" x14ac:dyDescent="0.25">
      <c r="A2" s="33" t="s">
        <v>491</v>
      </c>
    </row>
    <row r="3" spans="1:1" x14ac:dyDescent="0.25">
      <c r="A3" s="8" t="s">
        <v>4962</v>
      </c>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D5" sqref="D5"/>
    </sheetView>
  </sheetViews>
  <sheetFormatPr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Verwachte schade</v>
      </c>
      <c r="B1" s="145" t="str">
        <f>numbers_per_severity_label</f>
        <v>Geraamde aantallen naar ernstgraad</v>
      </c>
      <c r="C1" s="145"/>
      <c r="D1" s="145"/>
      <c r="E1" s="145"/>
      <c r="F1" s="71"/>
      <c r="G1" s="37"/>
    </row>
    <row r="2" spans="1:8" ht="75" customHeight="1" thickBot="1" x14ac:dyDescent="0.3">
      <c r="A2" s="108" t="str">
        <f>species_label</f>
        <v>Soort:</v>
      </c>
      <c r="B2" s="109" t="str">
        <f>nonRecovery_label</f>
        <v>Terminaal</v>
      </c>
      <c r="C2" s="109" t="str">
        <f>mild_label</f>
        <v>Licht</v>
      </c>
      <c r="D2" s="109" t="str">
        <f>moderate_label</f>
        <v>Matig</v>
      </c>
      <c r="E2" s="109" t="str">
        <f>severe_label</f>
        <v>Ernstig</v>
      </c>
      <c r="F2" s="109" t="str">
        <f>custom_severity_label</f>
        <v>Andere, door de lidstaat gekozen ernstgraad</v>
      </c>
    </row>
    <row r="3" spans="1:8" ht="13.5" hidden="1" customHeight="1" x14ac:dyDescent="0.25">
      <c r="A3" s="33" t="s">
        <v>179</v>
      </c>
      <c r="B3" s="39" t="s">
        <v>180</v>
      </c>
      <c r="C3" s="39" t="s">
        <v>181</v>
      </c>
      <c r="D3" s="39" t="s">
        <v>182</v>
      </c>
      <c r="E3" s="39" t="s">
        <v>183</v>
      </c>
      <c r="F3" s="39" t="s">
        <v>546</v>
      </c>
    </row>
    <row r="4" spans="1:8" x14ac:dyDescent="0.25">
      <c r="A4" s="8" t="s">
        <v>4960</v>
      </c>
      <c r="B4" s="31">
        <v>0</v>
      </c>
      <c r="C4" s="1">
        <v>136102</v>
      </c>
      <c r="D4" s="1">
        <v>1098</v>
      </c>
      <c r="E4" s="1">
        <v>0</v>
      </c>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t="s">
        <v>4961</v>
      </c>
      <c r="B5" s="31">
        <v>0</v>
      </c>
      <c r="C5" s="1">
        <v>9305</v>
      </c>
      <c r="D5" s="1">
        <v>75</v>
      </c>
      <c r="E5" s="1">
        <v>0</v>
      </c>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B5" sqref="B5"/>
    </sheetView>
  </sheetViews>
  <sheetFormatPr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Lot van in leven gehouden dieren</v>
      </c>
      <c r="B1" s="146" t="str">
        <f>numbers_per_fate_label</f>
        <v>Geraamd aantal te hergebruiken, in het habitat-/houderijsysteem terug te plaatsen of voor adoptie vrij te geven dieren</v>
      </c>
      <c r="C1" s="146"/>
      <c r="D1" s="146"/>
      <c r="E1" s="37"/>
    </row>
    <row r="2" spans="1:6" ht="44.25" customHeight="1" thickBot="1" x14ac:dyDescent="0.3">
      <c r="A2" s="38" t="str">
        <f>species_label</f>
        <v>Soort:</v>
      </c>
      <c r="B2" s="109" t="str">
        <f>reused_label</f>
        <v>Hergebruikt</v>
      </c>
      <c r="C2" s="109" t="str">
        <f>returned_label</f>
        <v>Teruggeplaatst</v>
      </c>
      <c r="D2" s="109" t="str">
        <f>rehomed_label</f>
        <v>Geadopteerd</v>
      </c>
    </row>
    <row r="3" spans="1:6" ht="15.4" hidden="1" customHeight="1" x14ac:dyDescent="0.25">
      <c r="A3" s="9" t="s">
        <v>179</v>
      </c>
      <c r="B3" s="9" t="s">
        <v>315</v>
      </c>
      <c r="C3" s="9" t="s">
        <v>316</v>
      </c>
      <c r="D3" s="9" t="s">
        <v>317</v>
      </c>
    </row>
    <row r="4" spans="1:6" x14ac:dyDescent="0.25">
      <c r="A4" s="8" t="s">
        <v>4960</v>
      </c>
      <c r="B4" s="1">
        <v>0</v>
      </c>
      <c r="C4" s="1">
        <v>0</v>
      </c>
      <c r="D4" s="1">
        <v>0</v>
      </c>
      <c r="E4" s="34" t="str">
        <f>IF(AND(fate_of_animals[[#This Row],[xs:species]]&lt;&gt;"",SUM(fate_of_animals[[#This Row],[xs:reused]:[xs:rehomed]])=0),total_number_mssg,IF(AND(fate_of_animals[[#This Row],[xs:species]]="",SUM(fate_of_animals[[#This Row],[xs:reused]:[xs:rehomed]])&gt;0),select_species_mssg,""))</f>
        <v>Totale aantal moet hoger zijn dan 0!</v>
      </c>
      <c r="F4" s="34" t="str">
        <f>IF(AND(fate_of_animals[[#This Row],[xs:species]]&lt;&gt;"",OR(fate_of_animals[[#This Row],[xs:reused]]="",fate_of_animals[[#This Row],[xs:returned]]="",fate_of_animals[[#This Row],[xs:rehomed]]="")),fill_all_cells_mssg,"")</f>
        <v/>
      </c>
    </row>
    <row r="5" spans="1:6" x14ac:dyDescent="0.25">
      <c r="A5" s="8" t="s">
        <v>4961</v>
      </c>
      <c r="B5" s="1">
        <v>0</v>
      </c>
      <c r="C5" s="1">
        <v>0</v>
      </c>
      <c r="D5" s="1">
        <v>0</v>
      </c>
      <c r="E5" s="34" t="str">
        <f>IF(AND(fate_of_animals[[#This Row],[xs:species]]&lt;&gt;"",SUM(fate_of_animals[[#This Row],[xs:reused]:[xs:rehomed]])=0),total_number_mssg,IF(AND(fate_of_animals[[#This Row],[xs:species]]="",SUM(fate_of_animals[[#This Row],[xs:reused]:[xs:rehomed]])&gt;0),select_species_mssg,""))</f>
        <v>Totale aantal moet hoger zijn dan 0!</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Fundamenteel onderzoek</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Omzettinggericht en toegepast onderzoek</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Gebruik op grond van regelgeving en voor routineproductie</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Bescherming van het milieu in het belang van de gezondheid of het welzijn van mens of dier</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Behoud van de soort</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Hoger onderwijs</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Opleiding voor het verwerven, op peil houden of verbeteren van beroepsvaardigheden</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Forensisch onderzoek</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Instandhouding van kolonies van bestendig genetisch gewijzigde dieren, niet gebruikt in andere procedures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Geen EU-doelstelling</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Oncologie</v>
      </c>
      <c r="C17" s="9" t="str">
        <f>CONCATENATE(B$5,": ",B17," [",A17,"]")</f>
        <v>Fundamenteel onderzoek: Oncologie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Cardiovasculair, bloed- en lymfestelsel</v>
      </c>
      <c r="C18" s="9" t="str">
        <f t="shared" ref="C18:C30" si="5">CONCATENATE(B$5,": ",B18," [",A18,"]")</f>
        <v>Fundamenteel onderzoek: Cardiovasculair, bloed- en lymfestelsel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Zenuwstelsel</v>
      </c>
      <c r="C19" s="9" t="str">
        <f t="shared" si="5"/>
        <v>Fundamenteel onderzoek: Zenuwstelsel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Luchtwegenstelsel</v>
      </c>
      <c r="C20" s="9" t="str">
        <f t="shared" si="5"/>
        <v>Fundamenteel onderzoek: Luchtwegenstelsel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Gastro-intestinaal stelsel met inbegrip van de lever</v>
      </c>
      <c r="C21" s="9" t="str">
        <f t="shared" si="5"/>
        <v>Fundamenteel onderzoek: Gastro-intestinaal stelsel met inbegrip van de lever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Spier- en skeletstelsel</v>
      </c>
      <c r="C22" s="9" t="str">
        <f t="shared" si="5"/>
        <v>Fundamenteel onderzoek: Spier- en skeletstelsel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Immuunstelsel</v>
      </c>
      <c r="C23" s="9" t="str">
        <f t="shared" si="5"/>
        <v>Fundamenteel onderzoek: Immuunstelsel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Urogenitaal / voortplantingsstelsel</v>
      </c>
      <c r="C24" s="9" t="str">
        <f t="shared" si="5"/>
        <v>Fundamenteel onderzoek: Urogenitaal / voortplantingsstelsel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Zintuigorganen (huid, ogen en oren)</v>
      </c>
      <c r="C25" s="9" t="str">
        <f t="shared" si="5"/>
        <v>Fundamenteel onderzoek: Zintuigorganen (huid, ogen en oren)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Endocrien stelsel / metabolisme</v>
      </c>
      <c r="C26" s="9" t="str">
        <f t="shared" si="5"/>
        <v>Fundamenteel onderzoek: Endocrien stelsel / metabolisme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Ontwikkelingsbiologie</v>
      </c>
      <c r="C27" s="9" t="str">
        <f t="shared" si="5"/>
        <v>Fundamenteel onderzoek: Ontwikkelingsbiologie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Multisystemisch</v>
      </c>
      <c r="C28" s="9" t="str">
        <f t="shared" si="5"/>
        <v>Fundamenteel onderzoek: Multisystemisch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Ethologie/diergedrag/dierbiologie</v>
      </c>
      <c r="C29" s="9" t="str">
        <f t="shared" si="5"/>
        <v>Fundamenteel onderzoek: Ethologie/diergedrag/dierbiologie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Ander fundamenteel onderzoek</v>
      </c>
      <c r="C30" s="9" t="str">
        <f t="shared" si="5"/>
        <v>Fundamenteel onderzoek: Ander fundamenteel onderzoek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Kanker bij de mens</v>
      </c>
      <c r="C31" s="9" t="str">
        <f>CONCATENATE(B$6,": ",B31," [",A31,"]")</f>
        <v>Omzettinggericht en toegepast onderzoek: Kanker bij de mens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Besmettelijke ziekten van de mens</v>
      </c>
      <c r="C32" s="9" t="str">
        <f t="shared" ref="C32:C48" si="6">CONCATENATE(B$6,": ",B32," [",A32,"]")</f>
        <v>Omzettinggericht en toegepast onderzoek: Besmettelijke ziekten van de mens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Cardiovasculaire aandoeningen bij de mens</v>
      </c>
      <c r="C33" s="9" t="str">
        <f t="shared" si="6"/>
        <v>Omzettinggericht en toegepast onderzoek: Cardiovasculaire aandoeningen bij de mens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Zenuwziekten en psychische aandoeningen van de mens</v>
      </c>
      <c r="C34" s="9" t="str">
        <f t="shared" si="6"/>
        <v>Omzettinggericht en toegepast onderzoek: Zenuwziekten en psychische aandoeningen van de mens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Respiratoire aandoeningen bij de mens</v>
      </c>
      <c r="C35" s="9" t="str">
        <f t="shared" si="6"/>
        <v>Omzettinggericht en toegepast onderzoek: Respiratoire aandoeningen bij de mens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Gastro-intestinale en leveraandoeningen bij de mens</v>
      </c>
      <c r="C36" s="9" t="str">
        <f t="shared" si="6"/>
        <v>Omzettinggericht en toegepast onderzoek: Gastro-intestinale en leveraandoeningen bij de mens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Spier- en botaandoeningen bij de mens</v>
      </c>
      <c r="C37" s="9" t="str">
        <f t="shared" si="6"/>
        <v>Omzettinggericht en toegepast onderzoek: Spier- en botaandoeningen bij de mens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Verstoringen van het immuunstelsel bij de mens</v>
      </c>
      <c r="C38" s="9" t="str">
        <f t="shared" si="6"/>
        <v>Omzettinggericht en toegepast onderzoek: Verstoringen van het immuunstelsel bij de mens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Aandoeningen van het urogenitaal / voortplantingsstelsel bij de mens</v>
      </c>
      <c r="C39" s="9" t="str">
        <f t="shared" si="6"/>
        <v>Omzettinggericht en toegepast onderzoek: Aandoeningen van het urogenitaal / voortplantingsstelsel bij de mens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Aandoeningen van zintuigorganen (huid, ogen en oren) bij de mens</v>
      </c>
      <c r="C40" s="9" t="str">
        <f t="shared" si="6"/>
        <v>Omzettinggericht en toegepast onderzoek: Aandoeningen van zintuigorganen (huid, ogen en oren) bij de mens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Endocriene en metabolismestoringen bij de mens</v>
      </c>
      <c r="C41" s="9" t="str">
        <f t="shared" si="6"/>
        <v>Omzettinggericht en toegepast onderzoek: Endocriene en metabolismestoringen bij de mens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Andere aandoeningen van de mens</v>
      </c>
      <c r="C42" s="9" t="str">
        <f t="shared" si="6"/>
        <v>Omzettinggericht en toegepast onderzoek: Andere aandoeningen van de mens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Ziekten en aandoeningen van dieren</v>
      </c>
      <c r="C43" s="9" t="str">
        <f t="shared" si="6"/>
        <v>Omzettinggericht en toegepast onderzoek: Ziekten en aandoeningen van dieren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Diervoeding</v>
      </c>
      <c r="C44" s="9" t="str">
        <f t="shared" si="6"/>
        <v>Omzettinggericht en toegepast onderzoek: Diervoeding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Dierenwelzijn</v>
      </c>
      <c r="C45" s="9" t="str">
        <f t="shared" si="6"/>
        <v>Omzettinggericht en toegepast onderzoek: Dierenwelzijn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Diagnose van ziekten</v>
      </c>
      <c r="C46" s="9" t="str">
        <f t="shared" si="6"/>
        <v>Omzettinggericht en toegepast onderzoek: Diagnose van ziekten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Plantenziekten</v>
      </c>
      <c r="C47" s="9" t="str">
        <f t="shared" si="6"/>
        <v>Omzettinggericht en toegepast onderzoek: Plantenziekten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Niet op grond van regelgeving vereist toxicologisch en ecotoxicologisch onderzoek</v>
      </c>
      <c r="C48" s="9" t="str">
        <f t="shared" si="6"/>
        <v>Omzettinggericht en toegepast onderzoek: Niet op grond van regelgeving vereist toxicologisch en ecotoxicologisch onderzoek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Kwaliteitscontrole (met inbegrip van tests van de veiligheid en werkzaamheid van charges)</v>
      </c>
      <c r="C49" s="9" t="str">
        <f>CONCATENATE(B$7,": ",B49," [",A49,"]")</f>
        <v>Gebruik op grond van regelgeving en voor routineproductie: Kwaliteitscontrole (met inbegrip van tests van de veiligheid en werkzaamheid van charges)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Andere doeltreffendheids- en tolerantietests</v>
      </c>
      <c r="C50" s="9" t="str">
        <f t="shared" ref="C50:C52" si="7">CONCATENATE(B$7,": ",B50," [",A50,"]")</f>
        <v>Gebruik op grond van regelgeving en voor routineproductie: Andere doeltreffendheids- en tolerantietests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Toxiciteits- en andere veiligheidstests met inbegrip van farmacologie</v>
      </c>
      <c r="C51" s="9" t="str">
        <f t="shared" si="7"/>
        <v>Gebruik op grond van regelgeving en voor routineproductie: Toxiciteits- en andere veiligheidstests met inbegrip van farmacologie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Routineproductie, uitgesplitst naar producttype</v>
      </c>
      <c r="C52" s="9" t="str">
        <f t="shared" si="7"/>
        <v>Gebruik op grond van regelgeving en voor routineproductie: Routineproductie, uitgesplitst naar producttype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Bescherming van het milieu in het belang van de gezondheid of het welzijn van mens of dier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Behoud van de soort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Hoger onderwijs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Opleiding voor het verwerven, op peil houden of verbeteren van beroepsvaardigheden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Forensisch onderzoek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Instandhouding van kolonies van bestendig genetisch gewijzigde dieren, niet gebruikt in andere procedures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Geen EU-doelstelling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ja</v>
      </c>
      <c r="C63" s="9" t="str">
        <f>CONCATENATE(B63," ","[",A63,"]")</f>
        <v>ja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nee</v>
      </c>
      <c r="C64" s="9" t="str">
        <f>CONCATENATE(B64," ","[",A64,"]")</f>
        <v>nee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Muizen</v>
      </c>
      <c r="C67" s="52" t="str">
        <f>CONCATENATE(B67," (",AC67,") ","[",A67,"]")</f>
        <v>Muizen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Ratten</v>
      </c>
      <c r="C68" s="52" t="str">
        <f t="shared" ref="C68:C107" si="11">CONCATENATE(B68," (",AC68,") ","[",A68,"]")</f>
        <v>Ratten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Cavia’s</v>
      </c>
      <c r="C69" s="52" t="str">
        <f t="shared" si="11"/>
        <v>Cavia’s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Syrische goudhamsters</v>
      </c>
      <c r="C70" s="52" t="str">
        <f t="shared" si="11"/>
        <v>Syrische goudhamsters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Chinese dwerghamsters</v>
      </c>
      <c r="C71" s="52" t="str">
        <f t="shared" si="11"/>
        <v>Chinese dwerghamsters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Mongoolse gerbils</v>
      </c>
      <c r="C72" s="52" t="str">
        <f t="shared" si="11"/>
        <v>Mongoolse gerbils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Andere knaagdieren</v>
      </c>
      <c r="C73" s="52" t="str">
        <f t="shared" si="11"/>
        <v>Andere knaagdieren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Konijnen</v>
      </c>
      <c r="C74" s="52" t="str">
        <f t="shared" si="11"/>
        <v>Konijnen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Katten</v>
      </c>
      <c r="C75" s="52" t="str">
        <f t="shared" si="11"/>
        <v>Katten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Honden</v>
      </c>
      <c r="C76" s="52" t="str">
        <f t="shared" si="11"/>
        <v>Honden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Fretten</v>
      </c>
      <c r="C77" s="52" t="str">
        <f t="shared" si="11"/>
        <v>Fretten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Andere roofdieren</v>
      </c>
      <c r="C78" s="52" t="str">
        <f t="shared" si="11"/>
        <v>Andere roofdieren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Paarden, ezels en kruisingen daarvan</v>
      </c>
      <c r="C79" s="52" t="str">
        <f t="shared" si="11"/>
        <v>Paarden, ezels en kruisingen daarvan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Varkens</v>
      </c>
      <c r="C80" s="52" t="str">
        <f t="shared" si="11"/>
        <v>Varkens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Geiten</v>
      </c>
      <c r="C81" s="52" t="str">
        <f t="shared" si="11"/>
        <v>Geiten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Schapen</v>
      </c>
      <c r="C82" s="52" t="str">
        <f t="shared" si="11"/>
        <v>Schapen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Runderen</v>
      </c>
      <c r="C83" s="52" t="str">
        <f t="shared" si="11"/>
        <v>Runderen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Halfapen</v>
      </c>
      <c r="C84" s="52" t="str">
        <f t="shared" si="11"/>
        <v>Halfapen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Klauwaapjes</v>
      </c>
      <c r="C85" s="52" t="str">
        <f t="shared" si="11"/>
        <v>Klauwaapjes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Java-apen</v>
      </c>
      <c r="C86" s="52" t="str">
        <f t="shared" si="11"/>
        <v>Java-apen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Rhesusapen</v>
      </c>
      <c r="C87" s="52" t="str">
        <f t="shared" si="11"/>
        <v>Rhesusapen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Meerkatten (Chlorocebus spp.)</v>
      </c>
      <c r="C88" s="52" t="str">
        <f t="shared" si="11"/>
        <v>Meerkatten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Bavianen (Papio spp.)</v>
      </c>
      <c r="C89" s="52" t="str">
        <f t="shared" si="11"/>
        <v>Bavianen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Doodshoofdaapjes</v>
      </c>
      <c r="C90" s="52" t="str">
        <f t="shared" si="11"/>
        <v>Doodshoofdaapjes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 xml:space="preserve">Andere soorten breedneusapen </v>
      </c>
      <c r="C91" s="52" t="str">
        <f t="shared" si="11"/>
        <v>Andere soorten breedneusapen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Andere soorten smalneusapen</v>
      </c>
      <c r="C92" s="52" t="str">
        <f t="shared" si="11"/>
        <v>Andere soorten smalneusapen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Mensapen</v>
      </c>
      <c r="C93" s="52" t="str">
        <f t="shared" si="11"/>
        <v>Mensapen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Andere zoogdieren</v>
      </c>
      <c r="C94" s="52" t="str">
        <f t="shared" si="11"/>
        <v>Andere zoogdieren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Huishoenders</v>
      </c>
      <c r="C95" s="52" t="str">
        <f t="shared" si="11"/>
        <v>Huishoenders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Kalkoenen</v>
      </c>
      <c r="C96" s="52" t="str">
        <f t="shared" si="11"/>
        <v>Kalkoenen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Andere vogels</v>
      </c>
      <c r="C97" s="52" t="str">
        <f t="shared" si="11"/>
        <v>Andere vogels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Reptielen</v>
      </c>
      <c r="C98" s="52" t="str">
        <f t="shared" si="11"/>
        <v>Reptielen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Kikkers</v>
      </c>
      <c r="C99" s="52" t="str">
        <f t="shared" si="11"/>
        <v>Kikkers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Klauwkikkers</v>
      </c>
      <c r="C100" s="52" t="str">
        <f t="shared" si="11"/>
        <v>Klauwkikkers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Andere amfibieën</v>
      </c>
      <c r="C101" s="52" t="str">
        <f t="shared" si="11"/>
        <v>Andere amfibieën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Zebravissen</v>
      </c>
      <c r="C102" s="52" t="str">
        <f t="shared" si="11"/>
        <v>Zebravissen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Zeebaars</v>
      </c>
      <c r="C103" s="52" t="str">
        <f t="shared" si="11"/>
        <v>Zeebaars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Zalm, forel, riddervis en vlagzalm</v>
      </c>
      <c r="C104" s="52" t="str">
        <f t="shared" si="11"/>
        <v>Zalm, forel, riddervis en vlagzalm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Guppy, zwaarddrager, mollie, plaatje</v>
      </c>
      <c r="C105" s="52" t="str">
        <f t="shared" si="11"/>
        <v>Guppy, zwaarddrager, mollie, plaatje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Andere vissen</v>
      </c>
      <c r="C106" s="52" t="str">
        <f t="shared" si="11"/>
        <v>Andere vissen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Koppotigen</v>
      </c>
      <c r="C107" s="52" t="str">
        <f t="shared" si="11"/>
        <v>Koppotigen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niet-gespecificeerd zoogdier</v>
      </c>
      <c r="C108" s="52" t="str">
        <f>CONCATENATE(B108," [",A108,"]")</f>
        <v>niet-gespecificeerd zoogdier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Land</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Taal</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Indiening bij EU</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Naam van het project</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Duur van het project</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Trefwoorden</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Trefwoord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Doel(en) van het project</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Fundamenteel onderzoek</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Omzettinggericht en toegepast onderzoek</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Gebruik op grond van regelgeving: kwaliteitscontrole (m.i.v. tests van de veiligheid en werkzaamheid van charges)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Gebruik op grond van regelgeving: andere doeltreffendheids- en tolerantietests</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Gebruik op grond van regelgeving: toxiciteits- en andere veiligheidstests m.i.v. farmacologie</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Routineproductie</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Bescherming van het milieu in het belang van de gezondheid of het welzijn van mens of dier</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Behoud van de soort</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Hoger onderwijs</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Opleiding</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Forensisch onderzoek</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Instandhouding van kolonies van genetisch gewijzigde dieren, niet gebruikt in andere procedures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NIET-TECHNISCHE PROJECTSAMENVATTING</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Er moet ten minste één doel worden gekozen!</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Er moet ten minste één trefwoord worden ingevoerd!</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Doelstellingen en verwachte voordelen van het project</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Doelstellingen van het project</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Potentiële voordelen die dit project kan opleveren</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Voorspelde schade</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In welke procedures worden de dieren gewoonlijk gebruikt</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Verwachte gevolgen/nadelige effecten voor de dieren</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Verwachte schade</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Lot van in leven gehouden dieren</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Redenen voor het geplande lot van de dieren na de procedure</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Toepassing van de drie V’s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Vervanging</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Vermindering</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Verfijning</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Licht de keuze van de soorten en de bijbehorende levensstadia toe</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Voor een beoordeling achteraf geselecteerd project</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Project geselecteerd voor BA?</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Termijn voor BA</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Reden voor de beoordeling achteraf</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Bevat ernstige procedures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Maakt gebruik van niet-menselijke primaten</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Andere reden</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Toelichting van de andere reden voor de beoordeling achteraf</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Er moet ten minste één reden worden gekozen!</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Waarde is inconsistent!</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Nationale identificatiecode van de NTS</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Voor het geselecteerde land niet van toepassing!</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Door de bevoegde autoriteit in te vullen!</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Totale aantal moet hoger zijn dan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Soort moet worden geselecteerd!</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Minstens 1 rij!</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Soort:</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Terminaal</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Licht</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Matig</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Ernstig</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Totaal aantal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Hergebruikt</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Teruggeplaatst</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Geadopteerd</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Beschrijf de doelstellingen van het project (bijvoorbeeld het aanpakken van bepaalde wetenschappelijke onduidelijkheden, of wetenschappelijke of klinische behoeften).</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In welke procedures worden de dieren gewoonlijk gebruikt (bijvoorbeeld injecties, chirurgische procedures)? Vermeld het aantal en de duur van deze procedures.</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Wat zijn de verwachte gevolgen/nadelige effecten voor de dieren, bijvoorbeeld pijn, gewichtsverlies, inactiviteit/verminderde mobiliteit, stress, abnormaal gedrag, en wat is de duur van die effecten?</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Welke soorten en aantallen dieren zullen naar verwachting worden gebruikt? Wat zijn de verwachte ernstgraden en de aantallen dieren in elke ernstcategorie (per soort)?</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Wat gebeurt er met de dieren die aan het einde van de procedure in leven worden gehouden?</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Geef de redenen voor het geplande lot van de dieren na de procedure.</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Beschrijf welke diervrije alternatieven op dit gebied voorhanden zijn en waarom zij niet voor het project kunnen worden gebruikt.</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Geraamde aantallen naar ernstgraad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Geraamd aantal te hergebruiken, in het habitat-/houderijsysteem terug te plaatsen of voor adoptie vrij te geven dieren</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Verplicht!</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Van toepassing op de lidstaten waar deze informatie krachtens de wetgeving vereist is</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Maximale lengte is 100 tekens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Duur van het project, uitgedrukt in maanden.</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Moet een heel getal tussen 1 en 60 zijn!</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Maximale lengte is 50 tekens inclusief spaties.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Maximale lengte is 2500 tekens.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Maximale lengte is 500 tekens.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Nationale identificatiecode van de NTS</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Vul het blad "Verwachte schade” in. Gelieve ten minste één rij in te vullen!</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Vul het blad "Lot van in leven gehouden dieren" in, indien van toepassing.</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Formaat dd-mm-jjjj of dd/mm/jjjj afhankelijk van uw systeeminstellingen (bv. 27-05-2022 of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Aanvullende velden</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Of het specifieke gebied al dan niet van toepassing is, hangt af van de nationale voorschriften.</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Startdatum project</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Einddatum project</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Goedkeuringsdatum project</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ICD-code</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Nationaal veld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Nationaal veld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Nationaal veld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Nationaal veld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Nationaal veld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Vul het blad "Doel van het project” in.</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(in maanden)</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Kan uit meer dan één woord bestaan.</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Vul alle categorieën in met hele getallen (0 of hoger)!</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Geef aan of het project al dan niet binnen het toepassingsgebied van de richtlijn valt.</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Code internationale classificatie van ziekten (ICD).</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Tot een nauwkeurigheid van een code van 4 tekens.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Link naar de eerdere versie van de NTS buiten het EC-systeem</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Te gebruiken in de overgangsperiode waarin de vorige versie van de NTS mogelijk niet in het EC-systeem bestaat.</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NTS-identificatiecode</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Unieke, door het centrale EC-systeem toegekende NTS-identificatiecode.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Alleen in te vullen wanneer de NTS al in het EC-systeem is opgeslagen.</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Andere, door de lidstaat gekozen ernstgraad</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Veld wordt niet gepubliceerd.</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nl</v>
      </c>
    </row>
    <row r="3" spans="1:31" ht="15.75" thickBot="1" x14ac:dyDescent="0.3">
      <c r="A3" s="27" t="s">
        <v>15</v>
      </c>
      <c r="B3" s="96" t="str">
        <f>yes</f>
        <v>ja [1]</v>
      </c>
      <c r="C3" s="97" t="str">
        <f>no</f>
        <v>nee [0]</v>
      </c>
    </row>
    <row r="4" spans="1:31" ht="15.75" thickBot="1" x14ac:dyDescent="0.3">
      <c r="A4" s="27" t="s">
        <v>14</v>
      </c>
      <c r="B4" s="96" t="str">
        <f>yes</f>
        <v>ja [1]</v>
      </c>
      <c r="C4" s="98" t="s">
        <v>6</v>
      </c>
    </row>
    <row r="5" spans="1:31" ht="15.75" thickBot="1" x14ac:dyDescent="0.3">
      <c r="A5" s="27" t="s">
        <v>391</v>
      </c>
      <c r="B5" s="95">
        <v>1</v>
      </c>
      <c r="C5" s="99"/>
    </row>
    <row r="6" spans="1:31" ht="15.75" thickBot="1" x14ac:dyDescent="0.3">
      <c r="A6" s="27" t="s">
        <v>174</v>
      </c>
      <c r="B6" s="95" t="str">
        <f>IF(NTS!B2="","",IF(VLOOKUP(NTS!B2,A11:B38,2)="yes","*",""))</f>
        <v>*</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6</vt:i4>
      </vt:variant>
      <vt:variant>
        <vt:lpstr>Named Ranges</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2020-03-26T19:58:53Z</dcterms:created>
  <dcterms:modified xsi:type="dcterms:W3CDTF">2023-08-14T15:11:30Z</dcterms:modified>
</cp:coreProperties>
</file>